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9615" tabRatio="907" activeTab="2"/>
  </bookViews>
  <sheets>
    <sheet name="Transaksjoner 2016" sheetId="1" r:id="rId1"/>
    <sheet name="Balanse 2016" sheetId="2" r:id="rId2"/>
    <sheet name="Resultat pr. prosjekt 2016" sheetId="3" r:id="rId3"/>
    <sheet name="Kontantkasser" sheetId="4" r:id="rId4"/>
  </sheets>
  <definedNames>
    <definedName name="_xlnm.Print_Area" localSheetId="1">'Balanse 2016'!$A$1:$D$22</definedName>
    <definedName name="_xlnm.Print_Area" localSheetId="2">'Resultat pr. prosjekt 2016'!$A$1:$C$23</definedName>
    <definedName name="_xlnm.Print_Area" localSheetId="0">'Transaksjoner 2016'!$A$1:$G$185</definedName>
    <definedName name="EXTRACT" localSheetId="1">'Balanse 2016'!#REF!</definedName>
    <definedName name="EXTRACT" localSheetId="2">'Resultat pr. prosjekt 2016'!#REF!</definedName>
    <definedName name="EXTRACT" localSheetId="0">'Transaksjoner 2016'!#REF!</definedName>
  </definedNames>
  <calcPr fullCalcOnLoad="1"/>
</workbook>
</file>

<file path=xl/sharedStrings.xml><?xml version="1.0" encoding="utf-8"?>
<sst xmlns="http://schemas.openxmlformats.org/spreadsheetml/2006/main" count="522" uniqueCount="415">
  <si>
    <t>D</t>
  </si>
  <si>
    <t>K</t>
  </si>
  <si>
    <t>-</t>
  </si>
  <si>
    <t>BALANSE</t>
  </si>
  <si>
    <t>Bevegelse</t>
  </si>
  <si>
    <t>Gulmarkerte = fjorårets inntekter/utgifter</t>
  </si>
  <si>
    <t>Avstemming:</t>
  </si>
  <si>
    <t>Bnr</t>
  </si>
  <si>
    <t>Einar Jemtland</t>
  </si>
  <si>
    <t>Beskrivelse</t>
  </si>
  <si>
    <t>Kasserer</t>
  </si>
  <si>
    <t>Sign.</t>
  </si>
  <si>
    <t>SKI STORBAND</t>
  </si>
  <si>
    <t>Admin</t>
  </si>
  <si>
    <t>Inntekter</t>
  </si>
  <si>
    <t>Spilleoppdrag</t>
  </si>
  <si>
    <t xml:space="preserve">Konserter </t>
  </si>
  <si>
    <t>Kontingent</t>
  </si>
  <si>
    <t>Renter</t>
  </si>
  <si>
    <t>SUM INNTEKTER</t>
  </si>
  <si>
    <t>Kostnader</t>
  </si>
  <si>
    <t>Vokalist</t>
  </si>
  <si>
    <t>Solister</t>
  </si>
  <si>
    <t>Leie lydanlegg/tekniker</t>
  </si>
  <si>
    <t>Parkering</t>
  </si>
  <si>
    <t>Noter/Arr.</t>
  </si>
  <si>
    <t>Variable</t>
  </si>
  <si>
    <t>Lokale øving</t>
  </si>
  <si>
    <t>Forsikring</t>
  </si>
  <si>
    <t>Nytt utstyr</t>
  </si>
  <si>
    <t>Medlemsavg.</t>
  </si>
  <si>
    <t>Annet (Jub.fest/Gaver/Div.)</t>
  </si>
  <si>
    <t>Adm./Div</t>
  </si>
  <si>
    <t>Program</t>
  </si>
  <si>
    <t>Markedsføring</t>
  </si>
  <si>
    <t>Promo/Ma</t>
  </si>
  <si>
    <t>Bankomk</t>
  </si>
  <si>
    <t>Finans</t>
  </si>
  <si>
    <t>SUM KOSTNADER</t>
  </si>
  <si>
    <t>RESULTAT</t>
  </si>
  <si>
    <t>Resultat</t>
  </si>
  <si>
    <t>Norsk Jazzforum</t>
  </si>
  <si>
    <r>
      <t xml:space="preserve">DnB </t>
    </r>
    <r>
      <rPr>
        <b/>
        <sz val="10"/>
        <rFont val="Arial"/>
        <family val="2"/>
      </rPr>
      <t>7114.05.46148</t>
    </r>
  </si>
  <si>
    <t>Ledelse konsert/show/dans</t>
  </si>
  <si>
    <t>Grønnmarkerte = motposteringer</t>
  </si>
  <si>
    <t>Seminarer</t>
  </si>
  <si>
    <t>Torbjørn Eide</t>
  </si>
  <si>
    <t>Økonomiansvarlig</t>
  </si>
  <si>
    <t>……………………………………………………………………………..</t>
  </si>
  <si>
    <t>Vedlikehold/Utstyr/Rekv</t>
  </si>
  <si>
    <t>Norsk Tipping</t>
  </si>
  <si>
    <t>Musikkens Studieforbund (VO.midler)</t>
  </si>
  <si>
    <t>Lokalleie</t>
  </si>
  <si>
    <t>Billettavgift</t>
  </si>
  <si>
    <t>Ski Kommune</t>
  </si>
  <si>
    <t>Dirigent prøver</t>
  </si>
  <si>
    <t>1/1</t>
  </si>
  <si>
    <t>Budsjett</t>
  </si>
  <si>
    <t>…………</t>
  </si>
  <si>
    <t xml:space="preserve">Påløpte kostnader:   </t>
  </si>
  <si>
    <t xml:space="preserve">Påløpte inntekter :  </t>
  </si>
  <si>
    <t>Annet</t>
  </si>
  <si>
    <t>Spill. vikareri nkl. prøver</t>
  </si>
  <si>
    <t>Mva-refusjon</t>
  </si>
  <si>
    <t>Oppnådd</t>
  </si>
  <si>
    <t>CD salg</t>
  </si>
  <si>
    <t>5/1</t>
  </si>
  <si>
    <t>7/1</t>
  </si>
  <si>
    <t>Omk</t>
  </si>
  <si>
    <t>Årspris VISA</t>
  </si>
  <si>
    <t>2/2</t>
  </si>
  <si>
    <t>9/2</t>
  </si>
  <si>
    <t>12/2</t>
  </si>
  <si>
    <t>Kontingent Einar Jemtland</t>
  </si>
  <si>
    <t>Nordox</t>
  </si>
  <si>
    <t>31/3</t>
  </si>
  <si>
    <t>B.Barlo prøver mars</t>
  </si>
  <si>
    <t>1/4</t>
  </si>
  <si>
    <t>Ajourført</t>
  </si>
  <si>
    <t>Donasjoner medlemmer</t>
  </si>
  <si>
    <t>Kontantkasse/vekslepenger</t>
  </si>
  <si>
    <t>Abonnementer</t>
  </si>
  <si>
    <t>Inngående saldo 1/1 2016</t>
  </si>
  <si>
    <t>Driftsregnskap 2016 pr. prosjekt</t>
  </si>
  <si>
    <t>Saldo DnB kto. 7114.05.46148 pr. 1/1 2016</t>
  </si>
  <si>
    <t>Sum IB 1/1 2016</t>
  </si>
  <si>
    <t>Saldo DnB kto. 1503.08.22568 pr. 1/1 2016</t>
  </si>
  <si>
    <t>Balanse  1/1 2016</t>
  </si>
  <si>
    <t>14/1</t>
  </si>
  <si>
    <t>Vikar Rune Bryn prøve 12/1</t>
  </si>
  <si>
    <t>20/1</t>
  </si>
  <si>
    <t>Clas Ohlson, tape, papir, lyspærer</t>
  </si>
  <si>
    <t>4/1</t>
  </si>
  <si>
    <t>21/1</t>
  </si>
  <si>
    <t>29/1</t>
  </si>
  <si>
    <t xml:space="preserve">OVERFØRT kto….46148 FRA 2015:  </t>
  </si>
  <si>
    <t>B.Barlo prøver januar</t>
  </si>
  <si>
    <t>Kjell &amp; Company, blekk</t>
  </si>
  <si>
    <t>1/2</t>
  </si>
  <si>
    <t>Kontingent Fredrik F Gusdal</t>
  </si>
  <si>
    <t xml:space="preserve">Kontingent Henning Mørland </t>
  </si>
  <si>
    <t>Ski Bygg, forsterkn.lister noteesker</t>
  </si>
  <si>
    <t>15/2</t>
  </si>
  <si>
    <t>Kontingent Torbjørn Eide</t>
  </si>
  <si>
    <t>22/2</t>
  </si>
  <si>
    <t>Nto. Billettinntekt kafé 20/2 (Eva Andresen)</t>
  </si>
  <si>
    <t>Nto. Billettinntekt kafé 20/2 (Einar Jemtland)</t>
  </si>
  <si>
    <t>24/2</t>
  </si>
  <si>
    <t>29/2</t>
  </si>
  <si>
    <t>25/2</t>
  </si>
  <si>
    <t>Flybill Tallin Erik.Halvorsen m/følge/Olaf Brattegård</t>
  </si>
  <si>
    <t>9</t>
  </si>
  <si>
    <t>1/3</t>
  </si>
  <si>
    <t>B.Barlo februar (prøver 6,6' - 20/2 4.070)</t>
  </si>
  <si>
    <t>7/3</t>
  </si>
  <si>
    <t>Norsk Jazzforum medlemsavgift 2016</t>
  </si>
  <si>
    <t>4/4</t>
  </si>
  <si>
    <t>14</t>
  </si>
  <si>
    <t>12/4</t>
  </si>
  <si>
    <t>Vinmonopolet, gave Biørn 60 år</t>
  </si>
  <si>
    <t>9/3</t>
  </si>
  <si>
    <t>NJF støtte Glenn Miller-kafé 20/2</t>
  </si>
  <si>
    <t>Glenn Miller</t>
  </si>
  <si>
    <t>Kafé 29/2</t>
  </si>
  <si>
    <t>Count Basie</t>
  </si>
  <si>
    <t>Kafé 23/4</t>
  </si>
  <si>
    <t>Viimsi</t>
  </si>
  <si>
    <t>6-7/5</t>
  </si>
  <si>
    <t>Kafé 18/6</t>
  </si>
  <si>
    <t>Heidi G. Broch</t>
  </si>
  <si>
    <t>25/4</t>
  </si>
  <si>
    <t>Tron Syversen vikar x-tra prøve 22/4</t>
  </si>
  <si>
    <t>Geir Hauger vikar x-tra prøve 22/4</t>
  </si>
  <si>
    <t>19/4</t>
  </si>
  <si>
    <t>Staples, flytteeske (notearkiv)</t>
  </si>
  <si>
    <t>Kontingent vår 2016 Pål Vinland</t>
  </si>
  <si>
    <t>Kontingent vår 2016 Tor Grefsgård</t>
  </si>
  <si>
    <t>18/4</t>
  </si>
  <si>
    <t>Kontingent vår/høst 2016 Torstein Granly</t>
  </si>
  <si>
    <t>Musikkens studieforbund (VO-midler)</t>
  </si>
  <si>
    <t>20/4</t>
  </si>
  <si>
    <t>Kontingent vår 2016 Karl Erik Huseby</t>
  </si>
  <si>
    <t xml:space="preserve">Kontingent vår 2016 Øystein Valldal </t>
  </si>
  <si>
    <t>23/4</t>
  </si>
  <si>
    <t xml:space="preserve">Billett "Vipps" Gunnar Mathisen konsert 23/4 </t>
  </si>
  <si>
    <t>Billettsalg Eva Andrsen</t>
  </si>
  <si>
    <t>Billettsalg Einar Jemtland</t>
  </si>
  <si>
    <t>26/4</t>
  </si>
  <si>
    <t>Kontingent vår 2016 Terje Fossli Pedersen</t>
  </si>
  <si>
    <t>28/4</t>
  </si>
  <si>
    <t>Billett Åge Korneliussen m/følge</t>
  </si>
  <si>
    <t>29/4</t>
  </si>
  <si>
    <t>6/5</t>
  </si>
  <si>
    <t>Kontant: Geir Gaarder 3,5'-line Falkenberg 1' - Geir Hauger 2'</t>
  </si>
  <si>
    <r>
      <t xml:space="preserve">B.Barlo </t>
    </r>
    <r>
      <rPr>
        <sz val="8"/>
        <rFont val="Arial"/>
        <family val="2"/>
      </rPr>
      <t>(prøver apri</t>
    </r>
    <r>
      <rPr>
        <sz val="10"/>
        <rFont val="Arial"/>
        <family val="2"/>
      </rPr>
      <t xml:space="preserve">l 11' - </t>
    </r>
    <r>
      <rPr>
        <sz val="8"/>
        <rFont val="Arial"/>
        <family val="2"/>
      </rPr>
      <t>kons 23/4</t>
    </r>
    <r>
      <rPr>
        <sz val="10"/>
        <rFont val="Arial"/>
        <family val="2"/>
      </rPr>
      <t xml:space="preserve"> 4.070)</t>
    </r>
  </si>
  <si>
    <t xml:space="preserve">12/5 </t>
  </si>
  <si>
    <t xml:space="preserve">Vikar "Viimsi" m/prøver Jan Olav Renvåg </t>
  </si>
  <si>
    <t>12/5</t>
  </si>
  <si>
    <r>
      <t>Majken Christiansen "Viimsi" (</t>
    </r>
    <r>
      <rPr>
        <sz val="8"/>
        <rFont val="Arial"/>
        <family val="2"/>
      </rPr>
      <t>Hon</t>
    </r>
    <r>
      <rPr>
        <sz val="10"/>
        <rFont val="Arial"/>
        <family val="2"/>
      </rPr>
      <t xml:space="preserve"> 6' -</t>
    </r>
    <r>
      <rPr>
        <sz val="8"/>
        <rFont val="Arial"/>
        <family val="2"/>
      </rPr>
      <t xml:space="preserve"> reise</t>
    </r>
    <r>
      <rPr>
        <sz val="10"/>
        <rFont val="Arial"/>
        <family val="2"/>
      </rPr>
      <t xml:space="preserve"> 1,5')</t>
    </r>
  </si>
  <si>
    <t>Tron Syversen prøve 10/5</t>
  </si>
  <si>
    <t>Vikar Helge Ellingsen 3/5</t>
  </si>
  <si>
    <t>Vikar Ole Marius Melhus 10/5</t>
  </si>
  <si>
    <t>Erik Halvorsen, x-tra natt "Viimsi"</t>
  </si>
  <si>
    <t>25/5</t>
  </si>
  <si>
    <t>L.E. Gudim arr "But The World Goes Around"</t>
  </si>
  <si>
    <t>27/5</t>
  </si>
  <si>
    <t>Oppegård Kommune, leie 1H</t>
  </si>
  <si>
    <t>Innbet Anne Mette Steinsholdt egenandel "Viimsi"</t>
  </si>
  <si>
    <t>2/5</t>
  </si>
  <si>
    <t>3/5</t>
  </si>
  <si>
    <t>Vipps-test</t>
  </si>
  <si>
    <t>19/5</t>
  </si>
  <si>
    <t>NJF støtte Count Basie 23/4</t>
  </si>
  <si>
    <t>Ski Kommune grunntilskudd 2016</t>
  </si>
  <si>
    <t>10/6</t>
  </si>
  <si>
    <r>
      <t>B.Barlo (</t>
    </r>
    <r>
      <rPr>
        <sz val="8"/>
        <rFont val="Arial"/>
        <family val="2"/>
      </rPr>
      <t>prøver mai</t>
    </r>
    <r>
      <rPr>
        <sz val="10"/>
        <rFont val="Arial"/>
        <family val="2"/>
      </rPr>
      <t xml:space="preserve"> 8,8 -</t>
    </r>
    <r>
      <rPr>
        <sz val="8"/>
        <rFont val="Arial"/>
        <family val="2"/>
      </rPr>
      <t xml:space="preserve"> konserter</t>
    </r>
    <r>
      <rPr>
        <sz val="10"/>
        <rFont val="Arial"/>
        <family val="2"/>
      </rPr>
      <t xml:space="preserve"> 9.994</t>
    </r>
  </si>
  <si>
    <r>
      <t xml:space="preserve"> </t>
    </r>
    <r>
      <rPr>
        <sz val="8"/>
        <rFont val="Arial"/>
        <family val="2"/>
      </rPr>
      <t xml:space="preserve">parkering </t>
    </r>
    <r>
      <rPr>
        <sz val="10"/>
        <rFont val="Arial"/>
        <family val="2"/>
      </rPr>
      <t>1.240 -</t>
    </r>
    <r>
      <rPr>
        <sz val="8"/>
        <rFont val="Arial"/>
        <family val="2"/>
      </rPr>
      <t xml:space="preserve"> bilgodt</t>
    </r>
    <r>
      <rPr>
        <sz val="10"/>
        <rFont val="Arial"/>
        <family val="2"/>
      </rPr>
      <t>. 504)</t>
    </r>
  </si>
  <si>
    <t>31</t>
  </si>
  <si>
    <t>Helge Ellingsen prøver 24, 31/5, 7,14/6</t>
  </si>
  <si>
    <t>17/6</t>
  </si>
  <si>
    <t>Helge Sunde arr.: "The Gratest Love…" "Orange Colored Sky"</t>
  </si>
  <si>
    <t>21/6</t>
  </si>
  <si>
    <t>Christian Lund konsert 18/6 + prøver 1, 14r/6</t>
  </si>
  <si>
    <t>23/6</t>
  </si>
  <si>
    <t>Frode Kjekstad "Gone Skiing" - forskudd</t>
  </si>
  <si>
    <t>27/6</t>
  </si>
  <si>
    <t>Vikar Olaf Brattegård 25/6 dans</t>
  </si>
  <si>
    <t>Vikar Kristian Johannessen 25/6 dans</t>
  </si>
  <si>
    <t>Majken Christiansen 25/6 dans</t>
  </si>
  <si>
    <t>Roger Williamsen 25/6 dans</t>
  </si>
  <si>
    <t>Morten Jensen 25/6 dans</t>
  </si>
  <si>
    <t>Lars Fredrik Karlsen 50-år 25/6 dans</t>
  </si>
  <si>
    <t>1/6</t>
  </si>
  <si>
    <t>4/6</t>
  </si>
  <si>
    <t>Kontingent Hanne Gundersveen</t>
  </si>
  <si>
    <t>7/6</t>
  </si>
  <si>
    <t>Kontingent Nina Trulsrud</t>
  </si>
  <si>
    <t>18/6</t>
  </si>
  <si>
    <t>Billett Gunn Marit Eggen</t>
  </si>
  <si>
    <t>20/6</t>
  </si>
  <si>
    <t>Billettinntekt 18/6 v/Einar Jemtland</t>
  </si>
  <si>
    <t>NJF støtte 18/6</t>
  </si>
  <si>
    <t>4/7</t>
  </si>
  <si>
    <r>
      <t xml:space="preserve">B.Barlo </t>
    </r>
    <r>
      <rPr>
        <sz val="8"/>
        <rFont val="Arial"/>
        <family val="2"/>
      </rPr>
      <t>(prøver juni</t>
    </r>
    <r>
      <rPr>
        <sz val="10"/>
        <rFont val="Arial"/>
        <family val="2"/>
      </rPr>
      <t xml:space="preserve"> 6,6' -</t>
    </r>
    <r>
      <rPr>
        <sz val="8"/>
        <rFont val="Arial"/>
        <family val="2"/>
      </rPr>
      <t xml:space="preserve"> kons</t>
    </r>
    <r>
      <rPr>
        <sz val="10"/>
        <rFont val="Arial"/>
        <family val="2"/>
      </rPr>
      <t xml:space="preserve"> 18/6 4.070)</t>
    </r>
  </si>
  <si>
    <t>12/7</t>
  </si>
  <si>
    <t>Ref utlegg reise "Viimsi" Pål</t>
  </si>
  <si>
    <t>Ref Utlegg reise "Viimsi" Torbjørn</t>
  </si>
  <si>
    <t>Fly Rune Bratfoss/Henning Mørland</t>
  </si>
  <si>
    <t>Fly Geir Gaarder, Jan Olav Renvåg, Biørn Barlo</t>
  </si>
  <si>
    <t>Ski Kommune kafés/festival-støtte</t>
  </si>
  <si>
    <t>1/7</t>
  </si>
  <si>
    <t>Gone Skiing</t>
  </si>
  <si>
    <t>Andre reisekostnader</t>
  </si>
  <si>
    <t>Ski Kommune kafé/festivalstøtte</t>
  </si>
  <si>
    <t>25/6</t>
  </si>
  <si>
    <t>Dans</t>
  </si>
  <si>
    <t>Donasjon "Gone Skiing" Torbjørn Eide</t>
  </si>
  <si>
    <t>Donasjon "Gone Skiing" Pål Vinland</t>
  </si>
  <si>
    <t>20/7</t>
  </si>
  <si>
    <t>Kontingent H16 Pål Vinland</t>
  </si>
  <si>
    <t>18/8</t>
  </si>
  <si>
    <t>Mester Grønn. Utlegg Tor Grefsgård "Harald Skoglund"</t>
  </si>
  <si>
    <t>25/8</t>
  </si>
  <si>
    <t>Helge Sunde arr. Til Heide Gjermundsen Broch</t>
  </si>
  <si>
    <t>1/8</t>
  </si>
  <si>
    <t>NJF komponiststøtte "Gone Skiing"</t>
  </si>
  <si>
    <t>NJF ad-hoc støtte Viimsi</t>
  </si>
  <si>
    <t>29/8</t>
  </si>
  <si>
    <t>Kontingent H16 Einar Jemtland</t>
  </si>
  <si>
    <t>1/9</t>
  </si>
  <si>
    <t>5/9</t>
  </si>
  <si>
    <t>8/9</t>
  </si>
  <si>
    <t>Heidi Gjermundsen Broch 18/6</t>
  </si>
  <si>
    <t>Kafé 17/9</t>
  </si>
  <si>
    <t>AUJO</t>
  </si>
  <si>
    <t>Kontantkasse/vekslepenger (Konserter)</t>
  </si>
  <si>
    <t>Tbf avsetninger 2015</t>
  </si>
  <si>
    <t>Kontantkasse/vekslepenger (Kafédrift)</t>
  </si>
  <si>
    <t>Kasse for konserter:</t>
  </si>
  <si>
    <t>Fast  beholdning</t>
  </si>
  <si>
    <t>pr. 17/9 2016</t>
  </si>
  <si>
    <t>Kasse for kafédrift:</t>
  </si>
  <si>
    <t>IB 16/9 2016</t>
  </si>
  <si>
    <t>lån fra Eva</t>
  </si>
  <si>
    <t>lån fra Einar</t>
  </si>
  <si>
    <t>Omsetning 17/9 2016</t>
  </si>
  <si>
    <t>Tilbakebetalt til Einar</t>
  </si>
  <si>
    <t>Ny saldo 17/9</t>
  </si>
  <si>
    <t>*</t>
  </si>
  <si>
    <t>Prosjekt:  Gone Skiing - spesifisert</t>
  </si>
  <si>
    <t>Kafé</t>
  </si>
  <si>
    <t>Lilestrøm</t>
  </si>
  <si>
    <t>SB-festival</t>
  </si>
  <si>
    <t>Asker Jazzfestival</t>
  </si>
  <si>
    <t>Lancelot</t>
  </si>
  <si>
    <t>Julekafé</t>
  </si>
  <si>
    <t>10/12</t>
  </si>
  <si>
    <t>Generell</t>
  </si>
  <si>
    <t>aktivitet</t>
  </si>
  <si>
    <t>Konsertinntekt</t>
  </si>
  <si>
    <t>Støtte Norsk Jazzforum</t>
  </si>
  <si>
    <t>Sum inntekter</t>
  </si>
  <si>
    <t>Ledelse konsert</t>
  </si>
  <si>
    <t>Vikarer inkl. prøver</t>
  </si>
  <si>
    <t>Solist Shannom Mowday</t>
  </si>
  <si>
    <t>Soliste Frode kjekstad</t>
  </si>
  <si>
    <t>Arrangementer</t>
  </si>
  <si>
    <t>Sum kostnader</t>
  </si>
  <si>
    <t>Kafédrift</t>
  </si>
  <si>
    <t>TOTALT</t>
  </si>
  <si>
    <t>18/10 2016</t>
  </si>
  <si>
    <t>Ovf fra hovedkonto</t>
  </si>
  <si>
    <t>Omsetning 22/10 2016</t>
  </si>
  <si>
    <t>Ny saldo pr.  23/10 2016</t>
  </si>
  <si>
    <t>(Mynt 420,- sedler 3.300,-)</t>
  </si>
  <si>
    <t>15-22/10</t>
  </si>
  <si>
    <t>12/9</t>
  </si>
  <si>
    <t>B.Barlo prøver august</t>
  </si>
  <si>
    <t>19/9</t>
  </si>
  <si>
    <t>Egenandel Romerike SB-Festival</t>
  </si>
  <si>
    <t>Vikal Rune Bratfoss Kafé 17/9 (AUJO)</t>
  </si>
  <si>
    <t>Vikal Geir HaugerKafé 17/9 (AUJO)</t>
  </si>
  <si>
    <t>Vikal Helge Ellingsen Kafé 17/9 (AUJO)</t>
  </si>
  <si>
    <t>Leie Folkets Hus 17/9</t>
  </si>
  <si>
    <t>Utlegg kafédrift Pål Vinland 17/9</t>
  </si>
  <si>
    <t>20/9</t>
  </si>
  <si>
    <t>Østnorsk Jazzsenter honorar AUJO</t>
  </si>
  <si>
    <t>Test VIPS Pål Vinland</t>
  </si>
  <si>
    <t>15/9</t>
  </si>
  <si>
    <t>Kontingent Vegard Hammer V16</t>
  </si>
  <si>
    <t>18/9</t>
  </si>
  <si>
    <t>VIPPS billett 17/9 kafé   AUJO og geb.</t>
  </si>
  <si>
    <t>VIPPS kafesalg 17/9</t>
  </si>
  <si>
    <t>Ovf billettinnt. 17/9 Einar Jemtland</t>
  </si>
  <si>
    <t>30/9</t>
  </si>
  <si>
    <t xml:space="preserve">   x </t>
  </si>
  <si>
    <t>5/10</t>
  </si>
  <si>
    <r>
      <t xml:space="preserve">B.Barlo direksjon sept </t>
    </r>
    <r>
      <rPr>
        <i/>
        <sz val="8"/>
        <rFont val="Arial"/>
        <family val="2"/>
      </rPr>
      <t>(Prøver 6.390/17.sep 4.210)</t>
    </r>
  </si>
  <si>
    <t>11/10</t>
  </si>
  <si>
    <t>Ski Musikkråd kontingent</t>
  </si>
  <si>
    <t>18/10</t>
  </si>
  <si>
    <t>Uttak til kontantkasse (konsert) 21/10</t>
  </si>
  <si>
    <t>19/10</t>
  </si>
  <si>
    <t>Geir Hauger RomSB 15/9 + seminar</t>
  </si>
  <si>
    <t>24/10</t>
  </si>
  <si>
    <t>Leie Folkets Hus 22/10</t>
  </si>
  <si>
    <t>Geir Hauger "Gone Skiing" 21-22/10</t>
  </si>
  <si>
    <t>Bryllupsgave Nina utl v/Pål Vinland</t>
  </si>
  <si>
    <t>21/10</t>
  </si>
  <si>
    <t>Parkering Tor Grefsgård 22/10</t>
  </si>
  <si>
    <t>Kaféutl. Pål Vinland 22/10</t>
  </si>
  <si>
    <t>Honorar "Gone Skiing" Frode Kjekstad</t>
  </si>
  <si>
    <t>25/10</t>
  </si>
  <si>
    <t>Honorar "Gone Skiing" Shannon Mpowday</t>
  </si>
  <si>
    <t>3/10</t>
  </si>
  <si>
    <t>10/10</t>
  </si>
  <si>
    <t>NJF støtte 17/9 kafé</t>
  </si>
  <si>
    <t>VIPPS billett 21/10</t>
  </si>
  <si>
    <t>VIPPS billett 22/10</t>
  </si>
  <si>
    <t xml:space="preserve">24/10 </t>
  </si>
  <si>
    <t>Ovf. Billettinnt. 21/10 Einar Jemtland</t>
  </si>
  <si>
    <t>Ovf billettinnt. 22/10 Eva Andresen</t>
  </si>
  <si>
    <t>Kontinent H16 Tor Grefsgård</t>
  </si>
  <si>
    <t>Dugnadsspilling kvintett</t>
  </si>
  <si>
    <t>31/10</t>
  </si>
  <si>
    <t>4/11</t>
  </si>
  <si>
    <r>
      <t xml:space="preserve">Direksjon B.Barlo </t>
    </r>
    <r>
      <rPr>
        <i/>
        <sz val="8"/>
        <rFont val="Arial"/>
        <family val="2"/>
      </rPr>
      <t xml:space="preserve">(Prøver sep 11.025, </t>
    </r>
  </si>
  <si>
    <t xml:space="preserve">   "Gone Skiing" 15-21-22/10 á 4.210)</t>
  </si>
  <si>
    <t>1/11</t>
  </si>
  <si>
    <t>Langhus 5/11 2016</t>
  </si>
  <si>
    <t>(Lokalleie)Påmeldingsavgift</t>
  </si>
  <si>
    <t>Parkering (ttansport)</t>
  </si>
  <si>
    <t>Dugnadsspilling</t>
  </si>
  <si>
    <t>Dirigent seminarer/prøve</t>
  </si>
  <si>
    <t>12/11</t>
  </si>
  <si>
    <t>RESULTAT 2016 (Underskudd)</t>
  </si>
  <si>
    <t>Sum kontantbeholdning</t>
  </si>
  <si>
    <t>Tømming prosj.kto.</t>
  </si>
  <si>
    <t>gml.saldo</t>
  </si>
  <si>
    <t>Saldo 31/10</t>
  </si>
  <si>
    <t>Kaféstøtte Ski Kommune</t>
  </si>
  <si>
    <t>Saldo bank</t>
  </si>
  <si>
    <t>Saldo transaksjonsoversikt</t>
  </si>
  <si>
    <t>Omsetning 10/12 2016</t>
  </si>
  <si>
    <t>Ny saldo pr.  10/12 2016</t>
  </si>
  <si>
    <t>Overført til bank</t>
  </si>
  <si>
    <t>Ny saldo pr.  12/12 2016</t>
  </si>
  <si>
    <t>12/12  2016</t>
  </si>
  <si>
    <t>(Mynt 370,- sedler 1.800,-)</t>
  </si>
  <si>
    <t>¨6/11</t>
  </si>
  <si>
    <t>NJF forsikring 2016</t>
  </si>
  <si>
    <t>14/11</t>
  </si>
  <si>
    <t>Geir Hauger 12711 Ekebergrest. "Kranutl. 50-års fest"</t>
  </si>
  <si>
    <t>Hon Kranutl. Landsforening</t>
  </si>
  <si>
    <t>21/11</t>
  </si>
  <si>
    <t>Helge Ellingsen prøve 15/11</t>
  </si>
  <si>
    <t>22/11</t>
  </si>
  <si>
    <t>Espen Johansen 12/11</t>
  </si>
  <si>
    <t>Anne Mette Steinsholt</t>
  </si>
  <si>
    <t>7/11</t>
  </si>
  <si>
    <t>5/11</t>
  </si>
  <si>
    <t>Kontingent Thorstein Granly</t>
  </si>
  <si>
    <t>Kontingent Kjersti Hamre</t>
  </si>
  <si>
    <t>6/11</t>
  </si>
  <si>
    <t>Kontinent Børre Midtsem</t>
  </si>
  <si>
    <t>Kontinent David Hveem</t>
  </si>
  <si>
    <t>Andel forsikring Rolf Karlstrøm</t>
  </si>
  <si>
    <t>Andel forsikring Einar Jemtland</t>
  </si>
  <si>
    <t>8/11</t>
  </si>
  <si>
    <t>Kontingent Øystein Valldal</t>
  </si>
  <si>
    <t>9/11</t>
  </si>
  <si>
    <t>VO Midler V16 Musikkens Studieforbund</t>
  </si>
  <si>
    <t>Andel forsikring Stein Jaksjø</t>
  </si>
  <si>
    <t>10/11</t>
  </si>
  <si>
    <t>Andel forsikring Tor Grefsgård</t>
  </si>
  <si>
    <t>18/11</t>
  </si>
  <si>
    <t>Andel forsikring Kristian Johannessen</t>
  </si>
  <si>
    <t>Kontingent Terje Fossli Pedersen</t>
  </si>
  <si>
    <t>24/11</t>
  </si>
  <si>
    <t>NJF støtte "Gone Skiing"</t>
  </si>
  <si>
    <t>28/11</t>
  </si>
  <si>
    <t>Kontingent Nina Seland Trulsrufd</t>
  </si>
  <si>
    <t>7/12</t>
  </si>
  <si>
    <t>B.Barlo (dir nov 8.820, 12/11 4.210)</t>
  </si>
  <si>
    <t>Jazznytt</t>
  </si>
  <si>
    <t>12/12</t>
  </si>
  <si>
    <t>Philip Granly Julekafé 10/12</t>
  </si>
  <si>
    <t>Geir Hauger julekafé 10/12</t>
  </si>
  <si>
    <t>14/12</t>
  </si>
  <si>
    <t>B.Barlo (dir des 2.205, julekafé 4.210)</t>
  </si>
  <si>
    <t>19/12</t>
  </si>
  <si>
    <t>Leie Salen 10/12</t>
  </si>
  <si>
    <t>1/12</t>
  </si>
  <si>
    <t>Kontingent Jacob Langmoen</t>
  </si>
  <si>
    <t>8/12</t>
  </si>
  <si>
    <t>Andel forsikring Thorstein Granly</t>
  </si>
  <si>
    <t>Inn konsertbilletter 10/12 Einar Jemtland</t>
  </si>
  <si>
    <t>Inn konsertbilletter 10/12 Eva Andresen</t>
  </si>
  <si>
    <t>13/12</t>
  </si>
  <si>
    <t>NJF Mva-ref2015</t>
  </si>
  <si>
    <t>VIPPS(konsert 140, kafe 74,5</t>
  </si>
  <si>
    <t>NJF støtte</t>
  </si>
  <si>
    <t>Differanse</t>
  </si>
  <si>
    <t>ikke mottatte trans. Pr. d.d.</t>
  </si>
  <si>
    <t>leie Oppegård Kommune 2 H</t>
  </si>
  <si>
    <t>Gunnar Andersen</t>
  </si>
  <si>
    <t>Tilbakebetalt  v/konsertoppgjør</t>
  </si>
  <si>
    <t>v/oppgjør Einar 3.350+3000 (post 79 12/12)</t>
  </si>
  <si>
    <t>28/12</t>
  </si>
  <si>
    <t>Saldo periodeslutt  31/12 2016</t>
  </si>
  <si>
    <t>31/12</t>
  </si>
  <si>
    <t>Balanse 31/12 2016 SKI STORBAND</t>
  </si>
  <si>
    <t>Balanse 31/12 2016</t>
  </si>
  <si>
    <t>Saldo DnB kto. 7114.05.46148 pr. 31/12  2016</t>
  </si>
  <si>
    <t>Saldo DnB kto. 1503.08.22568 pr. 31/12 2016</t>
  </si>
</sst>
</file>

<file path=xl/styles.xml><?xml version="1.0" encoding="utf-8"?>
<styleSheet xmlns="http://schemas.openxmlformats.org/spreadsheetml/2006/main">
  <numFmts count="35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0.000"/>
    <numFmt numFmtId="187" formatCode="0.0"/>
    <numFmt numFmtId="188" formatCode="d/\ mmmm\ yyyy"/>
    <numFmt numFmtId="189" formatCode="[$-414]d\.\ mmmm\ yyyy"/>
    <numFmt numFmtId="190" formatCode="[$-F800]dddd\,\ mmmm\ dd\,\ yyyy"/>
  </numFmts>
  <fonts count="6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b/>
      <sz val="14.5"/>
      <name val="Arial"/>
      <family val="2"/>
    </font>
    <font>
      <sz val="9.5"/>
      <name val="Arial"/>
      <family val="2"/>
    </font>
    <font>
      <b/>
      <sz val="12"/>
      <name val="Arial"/>
      <family val="2"/>
    </font>
    <font>
      <u val="single"/>
      <sz val="7.8"/>
      <color indexed="12"/>
      <name val="Arial"/>
      <family val="2"/>
    </font>
    <font>
      <u val="single"/>
      <sz val="7.8"/>
      <color indexed="36"/>
      <name val="Arial"/>
      <family val="2"/>
    </font>
    <font>
      <sz val="12"/>
      <name val="Arial"/>
      <family val="2"/>
    </font>
    <font>
      <b/>
      <sz val="12"/>
      <name val="MS Sans Serif"/>
      <family val="2"/>
    </font>
    <font>
      <sz val="8"/>
      <name val="Arial"/>
      <family val="2"/>
    </font>
    <font>
      <sz val="10"/>
      <color indexed="56"/>
      <name val="Arial"/>
      <family val="2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  <font>
      <i/>
      <sz val="10"/>
      <color indexed="10"/>
      <name val="Arial"/>
      <family val="2"/>
    </font>
    <font>
      <sz val="11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0"/>
      <color rgb="FF009E47"/>
      <name val="Arial"/>
      <family val="2"/>
    </font>
    <font>
      <b/>
      <sz val="10"/>
      <color rgb="FF00B050"/>
      <name val="Arial"/>
      <family val="2"/>
    </font>
    <font>
      <i/>
      <sz val="8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99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 style="thick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hair"/>
      <bottom style="thick"/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hair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double"/>
      <right style="double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double"/>
      <right style="double"/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thick"/>
    </border>
    <border>
      <left style="double"/>
      <right style="double"/>
      <top>
        <color indexed="63"/>
      </top>
      <bottom style="double"/>
    </border>
    <border>
      <left style="double"/>
      <right style="double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double"/>
      <right style="double"/>
      <top>
        <color indexed="63"/>
      </top>
      <bottom style="hair"/>
    </border>
    <border>
      <left style="double"/>
      <right style="double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41" fillId="20" borderId="1" applyNumberFormat="0" applyAlignment="0" applyProtection="0"/>
    <xf numFmtId="0" fontId="42" fillId="2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45" fillId="23" borderId="1" applyNumberFormat="0" applyAlignment="0" applyProtection="0"/>
    <xf numFmtId="0" fontId="46" fillId="0" borderId="2" applyNumberFormat="0" applyFill="0" applyAlignment="0" applyProtection="0"/>
    <xf numFmtId="171" fontId="0" fillId="0" borderId="0" applyFont="0" applyFill="0" applyBorder="0" applyAlignment="0" applyProtection="0"/>
    <xf numFmtId="0" fontId="47" fillId="24" borderId="3" applyNumberFormat="0" applyAlignment="0" applyProtection="0"/>
    <xf numFmtId="0" fontId="0" fillId="25" borderId="4" applyNumberFormat="0" applyFont="0" applyAlignment="0" applyProtection="0"/>
    <xf numFmtId="0" fontId="0" fillId="0" borderId="0">
      <alignment/>
      <protection/>
    </xf>
    <xf numFmtId="0" fontId="48" fillId="26" borderId="0" applyNumberFormat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169" fontId="0" fillId="0" borderId="0" applyFont="0" applyFill="0" applyBorder="0" applyAlignment="0" applyProtection="0"/>
    <xf numFmtId="0" fontId="54" fillId="20" borderId="9" applyNumberFormat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0" applyNumberFormat="0" applyFill="0" applyBorder="0" applyAlignment="0" applyProtection="0"/>
  </cellStyleXfs>
  <cellXfs count="275">
    <xf numFmtId="0" fontId="0" fillId="0" borderId="0" xfId="0" applyAlignment="1">
      <alignment/>
    </xf>
    <xf numFmtId="0" fontId="0" fillId="0" borderId="0" xfId="44" applyBorder="1">
      <alignment/>
      <protection/>
    </xf>
    <xf numFmtId="0" fontId="0" fillId="0" borderId="0" xfId="44">
      <alignment/>
      <protection/>
    </xf>
    <xf numFmtId="0" fontId="0" fillId="0" borderId="0" xfId="44" applyBorder="1" applyAlignment="1">
      <alignment horizontal="center"/>
      <protection/>
    </xf>
    <xf numFmtId="0" fontId="0" fillId="0" borderId="0" xfId="44" applyAlignment="1">
      <alignment horizontal="center"/>
      <protection/>
    </xf>
    <xf numFmtId="0" fontId="0" fillId="0" borderId="0" xfId="44" applyAlignment="1">
      <alignment/>
      <protection/>
    </xf>
    <xf numFmtId="0" fontId="0" fillId="0" borderId="0" xfId="44" applyAlignment="1">
      <alignment vertical="center"/>
      <protection/>
    </xf>
    <xf numFmtId="0" fontId="0" fillId="0" borderId="0" xfId="44" applyFont="1" applyBorder="1">
      <alignment/>
      <protection/>
    </xf>
    <xf numFmtId="0" fontId="0" fillId="0" borderId="0" xfId="44" applyFont="1">
      <alignment/>
      <protection/>
    </xf>
    <xf numFmtId="0" fontId="5" fillId="0" borderId="10" xfId="44" applyFont="1" applyBorder="1" applyAlignment="1">
      <alignment horizontal="centerContinuous" vertical="center"/>
      <protection/>
    </xf>
    <xf numFmtId="0" fontId="0" fillId="0" borderId="11" xfId="44" applyFont="1" applyBorder="1" applyAlignment="1">
      <alignment horizontal="center"/>
      <protection/>
    </xf>
    <xf numFmtId="0" fontId="6" fillId="0" borderId="12" xfId="44" applyFont="1" applyBorder="1" applyAlignment="1" quotePrefix="1">
      <alignment horizontal="center"/>
      <protection/>
    </xf>
    <xf numFmtId="0" fontId="1" fillId="0" borderId="0" xfId="44" applyFont="1">
      <alignment/>
      <protection/>
    </xf>
    <xf numFmtId="0" fontId="0" fillId="0" borderId="0" xfId="44" applyFont="1" applyAlignment="1">
      <alignment horizontal="center"/>
      <protection/>
    </xf>
    <xf numFmtId="0" fontId="10" fillId="0" borderId="0" xfId="0" applyFont="1" applyAlignment="1">
      <alignment/>
    </xf>
    <xf numFmtId="0" fontId="10" fillId="0" borderId="0" xfId="44" applyFont="1">
      <alignment/>
      <protection/>
    </xf>
    <xf numFmtId="0" fontId="10" fillId="0" borderId="13" xfId="0" applyFont="1" applyBorder="1" applyAlignment="1">
      <alignment horizontal="centerContinuous" vertical="center"/>
    </xf>
    <xf numFmtId="0" fontId="10" fillId="0" borderId="14" xfId="0" applyFont="1" applyBorder="1" applyAlignment="1">
      <alignment horizontal="centerContinuous" vertic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/>
    </xf>
    <xf numFmtId="0" fontId="10" fillId="0" borderId="17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8" xfId="0" applyFont="1" applyBorder="1" applyAlignment="1">
      <alignment/>
    </xf>
    <xf numFmtId="0" fontId="10" fillId="0" borderId="0" xfId="44" applyFont="1" applyAlignment="1">
      <alignment/>
      <protection/>
    </xf>
    <xf numFmtId="0" fontId="10" fillId="0" borderId="0" xfId="44" applyFont="1" applyAlignment="1">
      <alignment vertical="center"/>
      <protection/>
    </xf>
    <xf numFmtId="0" fontId="7" fillId="0" borderId="0" xfId="0" applyFont="1" applyAlignment="1">
      <alignment/>
    </xf>
    <xf numFmtId="0" fontId="10" fillId="0" borderId="11" xfId="0" applyFont="1" applyBorder="1" applyAlignment="1" quotePrefix="1">
      <alignment horizontal="left"/>
    </xf>
    <xf numFmtId="3" fontId="10" fillId="0" borderId="14" xfId="0" applyNumberFormat="1" applyFont="1" applyBorder="1" applyAlignment="1">
      <alignment/>
    </xf>
    <xf numFmtId="3" fontId="10" fillId="0" borderId="19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0" fontId="10" fillId="0" borderId="11" xfId="0" applyFont="1" applyBorder="1" applyAlignment="1">
      <alignment horizontal="left"/>
    </xf>
    <xf numFmtId="0" fontId="0" fillId="0" borderId="20" xfId="44" applyFont="1" applyBorder="1" applyAlignment="1">
      <alignment horizontal="centerContinuous" vertical="center"/>
      <protection/>
    </xf>
    <xf numFmtId="0" fontId="0" fillId="0" borderId="21" xfId="44" applyFont="1" applyBorder="1" applyAlignment="1">
      <alignment horizontal="center"/>
      <protection/>
    </xf>
    <xf numFmtId="0" fontId="0" fillId="0" borderId="21" xfId="44" applyFont="1" applyBorder="1" applyAlignment="1">
      <alignment horizontal="center" vertical="center"/>
      <protection/>
    </xf>
    <xf numFmtId="0" fontId="0" fillId="0" borderId="10" xfId="44" applyFont="1" applyBorder="1" applyAlignment="1">
      <alignment horizontal="center"/>
      <protection/>
    </xf>
    <xf numFmtId="0" fontId="0" fillId="0" borderId="22" xfId="44" applyFont="1" applyBorder="1" applyAlignment="1">
      <alignment horizontal="center" vertical="center"/>
      <protection/>
    </xf>
    <xf numFmtId="0" fontId="11" fillId="0" borderId="23" xfId="0" applyFont="1" applyBorder="1" applyAlignment="1">
      <alignment horizontal="center" vertical="center"/>
    </xf>
    <xf numFmtId="3" fontId="0" fillId="0" borderId="0" xfId="44" applyNumberFormat="1" applyFont="1" applyBorder="1" applyAlignment="1">
      <alignment/>
      <protection/>
    </xf>
    <xf numFmtId="3" fontId="0" fillId="0" borderId="24" xfId="44" applyNumberFormat="1" applyFont="1" applyBorder="1" applyAlignment="1">
      <alignment/>
      <protection/>
    </xf>
    <xf numFmtId="3" fontId="0" fillId="0" borderId="0" xfId="44" applyNumberFormat="1">
      <alignment/>
      <protection/>
    </xf>
    <xf numFmtId="4" fontId="0" fillId="0" borderId="10" xfId="44" applyNumberFormat="1" applyFont="1" applyBorder="1" applyAlignment="1" quotePrefix="1">
      <alignment vertical="center"/>
      <protection/>
    </xf>
    <xf numFmtId="4" fontId="0" fillId="0" borderId="12" xfId="44" applyNumberFormat="1" applyFont="1" applyFill="1" applyBorder="1" applyAlignment="1">
      <alignment vertical="center"/>
      <protection/>
    </xf>
    <xf numFmtId="4" fontId="0" fillId="0" borderId="25" xfId="44" applyNumberFormat="1" applyFont="1" applyFill="1" applyBorder="1" applyAlignment="1" quotePrefix="1">
      <alignment/>
      <protection/>
    </xf>
    <xf numFmtId="0" fontId="12" fillId="0" borderId="0" xfId="44" applyFont="1">
      <alignment/>
      <protection/>
    </xf>
    <xf numFmtId="0" fontId="12" fillId="0" borderId="0" xfId="44" applyFont="1" applyAlignment="1">
      <alignment horizontal="center"/>
      <protection/>
    </xf>
    <xf numFmtId="0" fontId="0" fillId="0" borderId="26" xfId="44" applyFont="1" applyBorder="1">
      <alignment/>
      <protection/>
    </xf>
    <xf numFmtId="0" fontId="12" fillId="0" borderId="0" xfId="0" applyFont="1" applyAlignment="1">
      <alignment/>
    </xf>
    <xf numFmtId="0" fontId="10" fillId="0" borderId="11" xfId="0" applyFont="1" applyBorder="1" applyAlignment="1">
      <alignment horizontal="left"/>
    </xf>
    <xf numFmtId="3" fontId="7" fillId="0" borderId="19" xfId="0" applyNumberFormat="1" applyFont="1" applyBorder="1" applyAlignment="1">
      <alignment/>
    </xf>
    <xf numFmtId="3" fontId="7" fillId="0" borderId="27" xfId="0" applyNumberFormat="1" applyFont="1" applyBorder="1" applyAlignment="1">
      <alignment/>
    </xf>
    <xf numFmtId="0" fontId="7" fillId="0" borderId="16" xfId="0" applyFont="1" applyBorder="1" applyAlignment="1">
      <alignment/>
    </xf>
    <xf numFmtId="3" fontId="7" fillId="0" borderId="17" xfId="0" applyNumberFormat="1" applyFont="1" applyBorder="1" applyAlignment="1">
      <alignment/>
    </xf>
    <xf numFmtId="3" fontId="10" fillId="0" borderId="19" xfId="0" applyNumberFormat="1" applyFont="1" applyBorder="1" applyAlignment="1">
      <alignment/>
    </xf>
    <xf numFmtId="0" fontId="0" fillId="0" borderId="11" xfId="44" applyFont="1" applyBorder="1">
      <alignment/>
      <protection/>
    </xf>
    <xf numFmtId="0" fontId="4" fillId="0" borderId="0" xfId="0" applyFont="1" applyAlignment="1">
      <alignment horizontal="center"/>
    </xf>
    <xf numFmtId="0" fontId="10" fillId="0" borderId="10" xfId="44" applyFont="1" applyBorder="1" applyAlignment="1">
      <alignment horizontal="center" vertical="center"/>
      <protection/>
    </xf>
    <xf numFmtId="0" fontId="6" fillId="0" borderId="28" xfId="44" applyFont="1" applyBorder="1" applyAlignment="1">
      <alignment/>
      <protection/>
    </xf>
    <xf numFmtId="0" fontId="0" fillId="0" borderId="28" xfId="44" applyFont="1" applyBorder="1" applyAlignment="1">
      <alignment horizontal="centerContinuous" vertical="center"/>
      <protection/>
    </xf>
    <xf numFmtId="0" fontId="10" fillId="0" borderId="10" xfId="44" applyFont="1" applyBorder="1" applyAlignment="1">
      <alignment horizontal="left" vertical="center"/>
      <protection/>
    </xf>
    <xf numFmtId="4" fontId="0" fillId="0" borderId="11" xfId="44" applyNumberFormat="1" applyFont="1" applyBorder="1" applyAlignment="1">
      <alignment/>
      <protection/>
    </xf>
    <xf numFmtId="0" fontId="0" fillId="0" borderId="0" xfId="0" applyBorder="1" applyAlignment="1">
      <alignment/>
    </xf>
    <xf numFmtId="0" fontId="0" fillId="0" borderId="29" xfId="44" applyFont="1" applyBorder="1" applyAlignment="1">
      <alignment horizontal="left"/>
      <protection/>
    </xf>
    <xf numFmtId="2" fontId="0" fillId="0" borderId="29" xfId="44" applyNumberFormat="1" applyFont="1" applyBorder="1" applyAlignment="1">
      <alignment vertical="center"/>
      <protection/>
    </xf>
    <xf numFmtId="4" fontId="0" fillId="0" borderId="30" xfId="44" applyNumberFormat="1" applyFont="1" applyBorder="1" applyAlignment="1">
      <alignment/>
      <protection/>
    </xf>
    <xf numFmtId="0" fontId="0" fillId="33" borderId="21" xfId="44" applyFont="1" applyFill="1" applyBorder="1">
      <alignment/>
      <protection/>
    </xf>
    <xf numFmtId="4" fontId="0" fillId="0" borderId="0" xfId="0" applyNumberFormat="1" applyBorder="1" applyAlignment="1">
      <alignment/>
    </xf>
    <xf numFmtId="0" fontId="0" fillId="0" borderId="31" xfId="44" applyFont="1" applyBorder="1" applyAlignment="1">
      <alignment horizontal="center"/>
      <protection/>
    </xf>
    <xf numFmtId="4" fontId="0" fillId="0" borderId="32" xfId="44" applyNumberFormat="1" applyFont="1" applyBorder="1" applyAlignment="1">
      <alignment horizontal="center"/>
      <protection/>
    </xf>
    <xf numFmtId="2" fontId="0" fillId="0" borderId="33" xfId="44" applyNumberFormat="1" applyFont="1" applyBorder="1" applyAlignment="1">
      <alignment/>
      <protection/>
    </xf>
    <xf numFmtId="4" fontId="0" fillId="0" borderId="34" xfId="44" applyNumberFormat="1" applyFont="1" applyBorder="1" applyAlignment="1">
      <alignment/>
      <protection/>
    </xf>
    <xf numFmtId="0" fontId="0" fillId="0" borderId="35" xfId="44" applyFont="1" applyBorder="1" applyAlignment="1">
      <alignment horizontal="center"/>
      <protection/>
    </xf>
    <xf numFmtId="3" fontId="7" fillId="0" borderId="36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88" fontId="13" fillId="0" borderId="0" xfId="44" applyNumberFormat="1" applyFont="1" applyBorder="1" applyAlignment="1">
      <alignment horizontal="left" vertical="center"/>
      <protection/>
    </xf>
    <xf numFmtId="0" fontId="1" fillId="0" borderId="23" xfId="44" applyNumberFormat="1" applyFont="1" applyBorder="1" applyAlignment="1">
      <alignment horizontal="center"/>
      <protection/>
    </xf>
    <xf numFmtId="0" fontId="1" fillId="0" borderId="37" xfId="44" applyFont="1" applyBorder="1" applyAlignment="1">
      <alignment horizontal="center"/>
      <protection/>
    </xf>
    <xf numFmtId="0" fontId="0" fillId="0" borderId="15" xfId="44" applyFont="1" applyBorder="1" applyAlignment="1">
      <alignment horizontal="center" vertical="center"/>
      <protection/>
    </xf>
    <xf numFmtId="0" fontId="1" fillId="0" borderId="16" xfId="44" applyNumberFormat="1" applyFont="1" applyBorder="1" applyAlignment="1">
      <alignment horizontal="center"/>
      <protection/>
    </xf>
    <xf numFmtId="0" fontId="14" fillId="0" borderId="0" xfId="44" applyFont="1" applyBorder="1">
      <alignment/>
      <protection/>
    </xf>
    <xf numFmtId="3" fontId="0" fillId="0" borderId="38" xfId="44" applyNumberFormat="1" applyFont="1" applyBorder="1">
      <alignment/>
      <protection/>
    </xf>
    <xf numFmtId="3" fontId="0" fillId="0" borderId="39" xfId="44" applyNumberFormat="1" applyFont="1" applyBorder="1">
      <alignment/>
      <protection/>
    </xf>
    <xf numFmtId="0" fontId="0" fillId="0" borderId="37" xfId="44" applyFont="1" applyBorder="1">
      <alignment/>
      <protection/>
    </xf>
    <xf numFmtId="3" fontId="0" fillId="0" borderId="40" xfId="44" applyNumberFormat="1" applyFont="1" applyBorder="1">
      <alignment/>
      <protection/>
    </xf>
    <xf numFmtId="0" fontId="14" fillId="0" borderId="18" xfId="44" applyFont="1" applyBorder="1">
      <alignment/>
      <protection/>
    </xf>
    <xf numFmtId="3" fontId="14" fillId="0" borderId="41" xfId="44" applyNumberFormat="1" applyFont="1" applyBorder="1">
      <alignment/>
      <protection/>
    </xf>
    <xf numFmtId="3" fontId="14" fillId="0" borderId="18" xfId="44" applyNumberFormat="1" applyFont="1" applyBorder="1">
      <alignment/>
      <protection/>
    </xf>
    <xf numFmtId="3" fontId="14" fillId="0" borderId="42" xfId="44" applyNumberFormat="1" applyFont="1" applyBorder="1">
      <alignment/>
      <protection/>
    </xf>
    <xf numFmtId="0" fontId="15" fillId="0" borderId="0" xfId="44" applyFont="1" applyBorder="1">
      <alignment/>
      <protection/>
    </xf>
    <xf numFmtId="0" fontId="15" fillId="0" borderId="18" xfId="44" applyFont="1" applyBorder="1" applyAlignment="1">
      <alignment horizontal="right"/>
      <protection/>
    </xf>
    <xf numFmtId="3" fontId="1" fillId="0" borderId="41" xfId="44" applyNumberFormat="1" applyFont="1" applyBorder="1">
      <alignment/>
      <protection/>
    </xf>
    <xf numFmtId="3" fontId="1" fillId="0" borderId="42" xfId="44" applyNumberFormat="1" applyFont="1" applyBorder="1">
      <alignment/>
      <protection/>
    </xf>
    <xf numFmtId="3" fontId="0" fillId="0" borderId="11" xfId="44" applyNumberFormat="1" applyFont="1" applyBorder="1">
      <alignment/>
      <protection/>
    </xf>
    <xf numFmtId="0" fontId="15" fillId="0" borderId="27" xfId="44" applyFont="1" applyBorder="1" applyAlignment="1">
      <alignment horizontal="right"/>
      <protection/>
    </xf>
    <xf numFmtId="0" fontId="15" fillId="0" borderId="16" xfId="44" applyFont="1" applyBorder="1">
      <alignment/>
      <protection/>
    </xf>
    <xf numFmtId="3" fontId="15" fillId="0" borderId="43" xfId="44" applyNumberFormat="1" applyFont="1" applyBorder="1">
      <alignment/>
      <protection/>
    </xf>
    <xf numFmtId="3" fontId="15" fillId="0" borderId="40" xfId="44" applyNumberFormat="1" applyFont="1" applyBorder="1">
      <alignment/>
      <protection/>
    </xf>
    <xf numFmtId="0" fontId="14" fillId="34" borderId="18" xfId="44" applyFont="1" applyFill="1" applyBorder="1">
      <alignment/>
      <protection/>
    </xf>
    <xf numFmtId="4" fontId="12" fillId="0" borderId="11" xfId="44" applyNumberFormat="1" applyFont="1" applyBorder="1">
      <alignment/>
      <protection/>
    </xf>
    <xf numFmtId="4" fontId="12" fillId="0" borderId="31" xfId="44" applyNumberFormat="1" applyFont="1" applyBorder="1">
      <alignment/>
      <protection/>
    </xf>
    <xf numFmtId="0" fontId="17" fillId="0" borderId="0" xfId="44" applyFont="1" applyAlignment="1">
      <alignment horizontal="center"/>
      <protection/>
    </xf>
    <xf numFmtId="0" fontId="18" fillId="0" borderId="0" xfId="44" applyFont="1">
      <alignment/>
      <protection/>
    </xf>
    <xf numFmtId="0" fontId="18" fillId="0" borderId="0" xfId="0" applyFont="1" applyAlignment="1">
      <alignment/>
    </xf>
    <xf numFmtId="3" fontId="0" fillId="0" borderId="44" xfId="44" applyNumberFormat="1" applyFont="1" applyBorder="1">
      <alignment/>
      <protection/>
    </xf>
    <xf numFmtId="4" fontId="12" fillId="0" borderId="0" xfId="44" applyNumberFormat="1" applyFont="1">
      <alignment/>
      <protection/>
    </xf>
    <xf numFmtId="0" fontId="0" fillId="0" borderId="10" xfId="44" applyFont="1" applyBorder="1" applyAlignment="1" quotePrefix="1">
      <alignment horizontal="left"/>
      <protection/>
    </xf>
    <xf numFmtId="0" fontId="0" fillId="0" borderId="0" xfId="44" applyFont="1" applyBorder="1">
      <alignment/>
      <protection/>
    </xf>
    <xf numFmtId="0" fontId="11" fillId="0" borderId="23" xfId="0" applyFont="1" applyBorder="1" applyAlignment="1">
      <alignment horizontal="centerContinuous" vertical="center"/>
    </xf>
    <xf numFmtId="0" fontId="0" fillId="0" borderId="12" xfId="44" applyFont="1" applyBorder="1">
      <alignment/>
      <protection/>
    </xf>
    <xf numFmtId="0" fontId="0" fillId="0" borderId="31" xfId="44" applyFont="1" applyBorder="1" applyAlignment="1">
      <alignment horizontal="right"/>
      <protection/>
    </xf>
    <xf numFmtId="0" fontId="0" fillId="0" borderId="29" xfId="44" applyFont="1" applyBorder="1" applyAlignment="1">
      <alignment horizontal="right"/>
      <protection/>
    </xf>
    <xf numFmtId="0" fontId="0" fillId="0" borderId="0" xfId="44" applyFont="1" applyAlignment="1">
      <alignment horizontal="center"/>
      <protection/>
    </xf>
    <xf numFmtId="0" fontId="0" fillId="0" borderId="45" xfId="44" applyFont="1" applyFill="1" applyBorder="1" applyAlignment="1">
      <alignment/>
      <protection/>
    </xf>
    <xf numFmtId="0" fontId="0" fillId="0" borderId="0" xfId="44" applyFont="1" applyBorder="1" applyAlignment="1">
      <alignment/>
      <protection/>
    </xf>
    <xf numFmtId="0" fontId="10" fillId="0" borderId="11" xfId="44" applyFont="1" applyBorder="1" applyAlignment="1">
      <alignment horizontal="center" vertical="center"/>
      <protection/>
    </xf>
    <xf numFmtId="0" fontId="5" fillId="0" borderId="11" xfId="44" applyFont="1" applyBorder="1" applyAlignment="1">
      <alignment horizontal="centerContinuous" vertical="center"/>
      <protection/>
    </xf>
    <xf numFmtId="0" fontId="0" fillId="0" borderId="24" xfId="44" applyFont="1" applyBorder="1" applyAlignment="1">
      <alignment horizontal="centerContinuous" vertical="center"/>
      <protection/>
    </xf>
    <xf numFmtId="0" fontId="0" fillId="35" borderId="11" xfId="44" applyFont="1" applyFill="1" applyBorder="1" applyAlignment="1">
      <alignment horizontal="left" vertical="center"/>
      <protection/>
    </xf>
    <xf numFmtId="3" fontId="56" fillId="0" borderId="41" xfId="44" applyNumberFormat="1" applyFont="1" applyBorder="1">
      <alignment/>
      <protection/>
    </xf>
    <xf numFmtId="3" fontId="56" fillId="0" borderId="42" xfId="44" applyNumberFormat="1" applyFont="1" applyBorder="1">
      <alignment/>
      <protection/>
    </xf>
    <xf numFmtId="3" fontId="56" fillId="0" borderId="41" xfId="44" applyNumberFormat="1" applyFont="1" applyBorder="1" applyAlignment="1">
      <alignment horizontal="right"/>
      <protection/>
    </xf>
    <xf numFmtId="3" fontId="56" fillId="0" borderId="42" xfId="44" applyNumberFormat="1" applyFont="1" applyBorder="1" applyAlignment="1">
      <alignment horizontal="right"/>
      <protection/>
    </xf>
    <xf numFmtId="0" fontId="0" fillId="0" borderId="0" xfId="44" applyFont="1">
      <alignment/>
      <protection/>
    </xf>
    <xf numFmtId="3" fontId="0" fillId="0" borderId="39" xfId="44" applyNumberFormat="1" applyFont="1" applyBorder="1">
      <alignment/>
      <protection/>
    </xf>
    <xf numFmtId="3" fontId="56" fillId="0" borderId="18" xfId="44" applyNumberFormat="1" applyFont="1" applyBorder="1">
      <alignment/>
      <protection/>
    </xf>
    <xf numFmtId="3" fontId="56" fillId="0" borderId="18" xfId="44" applyNumberFormat="1" applyFont="1" applyBorder="1" applyAlignment="1">
      <alignment horizontal="right"/>
      <protection/>
    </xf>
    <xf numFmtId="3" fontId="1" fillId="0" borderId="18" xfId="44" applyNumberFormat="1" applyFont="1" applyBorder="1">
      <alignment/>
      <protection/>
    </xf>
    <xf numFmtId="3" fontId="15" fillId="0" borderId="16" xfId="44" applyNumberFormat="1" applyFont="1" applyBorder="1">
      <alignment/>
      <protection/>
    </xf>
    <xf numFmtId="0" fontId="17" fillId="0" borderId="0" xfId="44" applyFont="1" applyBorder="1" applyAlignment="1">
      <alignment horizontal="center"/>
      <protection/>
    </xf>
    <xf numFmtId="0" fontId="0" fillId="0" borderId="0" xfId="44" applyFont="1" applyBorder="1" applyAlignment="1">
      <alignment horizontal="center"/>
      <protection/>
    </xf>
    <xf numFmtId="3" fontId="56" fillId="34" borderId="41" xfId="44" applyNumberFormat="1" applyFont="1" applyFill="1" applyBorder="1">
      <alignment/>
      <protection/>
    </xf>
    <xf numFmtId="0" fontId="6" fillId="36" borderId="46" xfId="44" applyFont="1" applyFill="1" applyBorder="1" applyAlignment="1">
      <alignment horizontal="center" vertical="center"/>
      <protection/>
    </xf>
    <xf numFmtId="0" fontId="0" fillId="0" borderId="29" xfId="44" applyFont="1" applyBorder="1" applyAlignment="1">
      <alignment horizontal="center"/>
      <protection/>
    </xf>
    <xf numFmtId="0" fontId="0" fillId="35" borderId="19" xfId="44" applyFont="1" applyFill="1" applyBorder="1" applyAlignment="1">
      <alignment horizontal="centerContinuous" vertical="center"/>
      <protection/>
    </xf>
    <xf numFmtId="3" fontId="57" fillId="34" borderId="41" xfId="44" applyNumberFormat="1" applyFont="1" applyFill="1" applyBorder="1">
      <alignment/>
      <protection/>
    </xf>
    <xf numFmtId="0" fontId="10" fillId="0" borderId="0" xfId="44" applyFont="1" applyAlignment="1">
      <alignment vertical="center"/>
      <protection/>
    </xf>
    <xf numFmtId="9" fontId="56" fillId="34" borderId="47" xfId="44" applyNumberFormat="1" applyFont="1" applyFill="1" applyBorder="1">
      <alignment/>
      <protection/>
    </xf>
    <xf numFmtId="3" fontId="56" fillId="34" borderId="48" xfId="44" applyNumberFormat="1" applyFont="1" applyFill="1" applyBorder="1">
      <alignment/>
      <protection/>
    </xf>
    <xf numFmtId="16" fontId="6" fillId="0" borderId="12" xfId="44" applyNumberFormat="1" applyFont="1" applyBorder="1" applyAlignment="1" quotePrefix="1">
      <alignment horizontal="center"/>
      <protection/>
    </xf>
    <xf numFmtId="3" fontId="58" fillId="34" borderId="41" xfId="44" applyNumberFormat="1" applyFont="1" applyFill="1" applyBorder="1">
      <alignment/>
      <protection/>
    </xf>
    <xf numFmtId="3" fontId="0" fillId="0" borderId="39" xfId="44" applyNumberFormat="1" applyFont="1" applyFill="1" applyBorder="1">
      <alignment/>
      <protection/>
    </xf>
    <xf numFmtId="3" fontId="0" fillId="0" borderId="11" xfId="44" applyNumberFormat="1" applyFont="1" applyFill="1" applyBorder="1">
      <alignment/>
      <protection/>
    </xf>
    <xf numFmtId="3" fontId="0" fillId="0" borderId="39" xfId="44" applyNumberFormat="1" applyFont="1" applyFill="1" applyBorder="1">
      <alignment/>
      <protection/>
    </xf>
    <xf numFmtId="3" fontId="56" fillId="0" borderId="41" xfId="44" applyNumberFormat="1" applyFont="1" applyFill="1" applyBorder="1">
      <alignment/>
      <protection/>
    </xf>
    <xf numFmtId="3" fontId="56" fillId="0" borderId="41" xfId="44" applyNumberFormat="1" applyFont="1" applyFill="1" applyBorder="1" applyAlignment="1">
      <alignment horizontal="right"/>
      <protection/>
    </xf>
    <xf numFmtId="0" fontId="10" fillId="0" borderId="0" xfId="0" applyFont="1" applyBorder="1" applyAlignment="1">
      <alignment horizontal="centerContinuous" vertical="center"/>
    </xf>
    <xf numFmtId="0" fontId="10" fillId="0" borderId="0" xfId="0" applyFont="1" applyBorder="1" applyAlignment="1">
      <alignment horizontal="center"/>
    </xf>
    <xf numFmtId="3" fontId="10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0" fillId="0" borderId="10" xfId="44" applyFont="1" applyBorder="1" applyAlignment="1" quotePrefix="1">
      <alignment horizontal="center"/>
      <protection/>
    </xf>
    <xf numFmtId="0" fontId="0" fillId="0" borderId="12" xfId="44" applyFont="1" applyBorder="1" applyAlignment="1" quotePrefix="1">
      <alignment horizontal="center"/>
      <protection/>
    </xf>
    <xf numFmtId="0" fontId="0" fillId="0" borderId="12" xfId="44" applyFont="1" applyBorder="1" applyAlignment="1" quotePrefix="1">
      <alignment horizontal="right"/>
      <protection/>
    </xf>
    <xf numFmtId="4" fontId="0" fillId="0" borderId="12" xfId="44" applyNumberFormat="1" applyFont="1" applyFill="1" applyBorder="1" applyAlignment="1">
      <alignment vertical="center"/>
      <protection/>
    </xf>
    <xf numFmtId="4" fontId="0" fillId="0" borderId="25" xfId="44" applyNumberFormat="1" applyFont="1" applyFill="1" applyBorder="1" applyAlignment="1" quotePrefix="1">
      <alignment/>
      <protection/>
    </xf>
    <xf numFmtId="3" fontId="0" fillId="0" borderId="11" xfId="44" applyNumberFormat="1" applyFont="1" applyFill="1" applyBorder="1">
      <alignment/>
      <protection/>
    </xf>
    <xf numFmtId="3" fontId="0" fillId="0" borderId="11" xfId="44" applyNumberFormat="1" applyFont="1" applyBorder="1">
      <alignment/>
      <protection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10" fillId="0" borderId="0" xfId="44" applyFont="1" applyBorder="1" applyAlignment="1">
      <alignment/>
      <protection/>
    </xf>
    <xf numFmtId="0" fontId="10" fillId="0" borderId="0" xfId="44" applyFont="1" applyBorder="1" applyAlignment="1">
      <alignment vertical="center"/>
      <protection/>
    </xf>
    <xf numFmtId="0" fontId="1" fillId="0" borderId="47" xfId="44" applyFont="1" applyBorder="1" applyAlignment="1">
      <alignment horizontal="center" vertical="center"/>
      <protection/>
    </xf>
    <xf numFmtId="16" fontId="1" fillId="0" borderId="38" xfId="44" applyNumberFormat="1" applyFont="1" applyBorder="1" applyAlignment="1">
      <alignment horizontal="center" wrapText="1"/>
      <protection/>
    </xf>
    <xf numFmtId="0" fontId="1" fillId="0" borderId="43" xfId="44" applyNumberFormat="1" applyFont="1" applyBorder="1" applyAlignment="1">
      <alignment horizontal="center" wrapText="1"/>
      <protection/>
    </xf>
    <xf numFmtId="0" fontId="2" fillId="0" borderId="13" xfId="44" applyFont="1" applyBorder="1">
      <alignment/>
      <protection/>
    </xf>
    <xf numFmtId="3" fontId="16" fillId="0" borderId="13" xfId="44" applyNumberFormat="1" applyFont="1" applyBorder="1">
      <alignment/>
      <protection/>
    </xf>
    <xf numFmtId="0" fontId="7" fillId="0" borderId="11" xfId="0" applyFont="1" applyBorder="1" applyAlignment="1">
      <alignment horizontal="left"/>
    </xf>
    <xf numFmtId="3" fontId="16" fillId="0" borderId="0" xfId="44" applyNumberFormat="1" applyFont="1" applyBorder="1">
      <alignment/>
      <protection/>
    </xf>
    <xf numFmtId="0" fontId="1" fillId="0" borderId="38" xfId="44" applyNumberFormat="1" applyFont="1" applyBorder="1" applyAlignment="1">
      <alignment horizontal="center" wrapText="1"/>
      <protection/>
    </xf>
    <xf numFmtId="0" fontId="0" fillId="0" borderId="0" xfId="44" applyProtection="1">
      <alignment/>
      <protection locked="0"/>
    </xf>
    <xf numFmtId="9" fontId="0" fillId="0" borderId="0" xfId="44" applyNumberFormat="1">
      <alignment/>
      <protection/>
    </xf>
    <xf numFmtId="0" fontId="0" fillId="0" borderId="10" xfId="44" applyFont="1" applyBorder="1" applyAlignment="1">
      <alignment horizontal="center" vertical="center"/>
      <protection/>
    </xf>
    <xf numFmtId="3" fontId="10" fillId="0" borderId="0" xfId="44" applyNumberFormat="1" applyFont="1">
      <alignment/>
      <protection/>
    </xf>
    <xf numFmtId="0" fontId="1" fillId="0" borderId="0" xfId="44" applyFont="1" applyAlignment="1">
      <alignment horizontal="right"/>
      <protection/>
    </xf>
    <xf numFmtId="14" fontId="1" fillId="0" borderId="0" xfId="44" applyNumberFormat="1" applyFont="1" applyAlignment="1" quotePrefix="1">
      <alignment horizontal="left"/>
      <protection/>
    </xf>
    <xf numFmtId="0" fontId="1" fillId="0" borderId="43" xfId="44" applyNumberFormat="1" applyFont="1" applyBorder="1" applyAlignment="1" quotePrefix="1">
      <alignment horizontal="center" wrapText="1"/>
      <protection/>
    </xf>
    <xf numFmtId="0" fontId="0" fillId="0" borderId="12" xfId="44" applyFont="1" applyBorder="1" applyAlignment="1">
      <alignment horizontal="left"/>
      <protection/>
    </xf>
    <xf numFmtId="3" fontId="58" fillId="37" borderId="41" xfId="44" applyNumberFormat="1" applyFont="1" applyFill="1" applyBorder="1">
      <alignment/>
      <protection/>
    </xf>
    <xf numFmtId="0" fontId="0" fillId="0" borderId="49" xfId="44" applyFont="1" applyBorder="1">
      <alignment/>
      <protection/>
    </xf>
    <xf numFmtId="3" fontId="0" fillId="0" borderId="50" xfId="44" applyNumberFormat="1" applyFont="1" applyFill="1" applyBorder="1">
      <alignment/>
      <protection/>
    </xf>
    <xf numFmtId="3" fontId="0" fillId="0" borderId="51" xfId="44" applyNumberFormat="1" applyFont="1" applyFill="1" applyBorder="1">
      <alignment/>
      <protection/>
    </xf>
    <xf numFmtId="3" fontId="0" fillId="0" borderId="51" xfId="44" applyNumberFormat="1" applyFont="1" applyBorder="1">
      <alignment/>
      <protection/>
    </xf>
    <xf numFmtId="3" fontId="0" fillId="0" borderId="51" xfId="44" applyNumberFormat="1" applyFont="1" applyBorder="1">
      <alignment/>
      <protection/>
    </xf>
    <xf numFmtId="3" fontId="0" fillId="0" borderId="52" xfId="44" applyNumberFormat="1" applyFont="1" applyBorder="1">
      <alignment/>
      <protection/>
    </xf>
    <xf numFmtId="3" fontId="0" fillId="0" borderId="49" xfId="44" applyNumberFormat="1" applyBorder="1">
      <alignment/>
      <protection/>
    </xf>
    <xf numFmtId="9" fontId="0" fillId="0" borderId="49" xfId="44" applyNumberFormat="1" applyBorder="1">
      <alignment/>
      <protection/>
    </xf>
    <xf numFmtId="0" fontId="0" fillId="0" borderId="49" xfId="44" applyFont="1" applyBorder="1">
      <alignment/>
      <protection/>
    </xf>
    <xf numFmtId="3" fontId="0" fillId="0" borderId="50" xfId="44" applyNumberFormat="1" applyFont="1" applyFill="1" applyBorder="1">
      <alignment/>
      <protection/>
    </xf>
    <xf numFmtId="3" fontId="0" fillId="0" borderId="50" xfId="44" applyNumberFormat="1" applyFont="1" applyBorder="1">
      <alignment/>
      <protection/>
    </xf>
    <xf numFmtId="4" fontId="0" fillId="0" borderId="11" xfId="44" applyNumberFormat="1" applyFont="1" applyBorder="1" applyAlignment="1" quotePrefix="1">
      <alignment vertical="center"/>
      <protection/>
    </xf>
    <xf numFmtId="0" fontId="0" fillId="0" borderId="11" xfId="44" applyFont="1" applyBorder="1" applyAlignment="1" quotePrefix="1">
      <alignment horizontal="center"/>
      <protection/>
    </xf>
    <xf numFmtId="0" fontId="0" fillId="0" borderId="11" xfId="44" applyFont="1" applyBorder="1" applyAlignment="1" quotePrefix="1">
      <alignment horizontal="left"/>
      <protection/>
    </xf>
    <xf numFmtId="0" fontId="6" fillId="0" borderId="19" xfId="44" applyFont="1" applyBorder="1" applyAlignment="1">
      <alignment/>
      <protection/>
    </xf>
    <xf numFmtId="3" fontId="56" fillId="0" borderId="53" xfId="44" applyNumberFormat="1" applyFont="1" applyBorder="1">
      <alignment/>
      <protection/>
    </xf>
    <xf numFmtId="3" fontId="0" fillId="0" borderId="47" xfId="44" applyNumberFormat="1" applyFont="1" applyBorder="1">
      <alignment/>
      <protection/>
    </xf>
    <xf numFmtId="4" fontId="12" fillId="0" borderId="0" xfId="0" applyNumberFormat="1" applyFont="1" applyAlignment="1">
      <alignment/>
    </xf>
    <xf numFmtId="4" fontId="19" fillId="0" borderId="0" xfId="44" applyNumberFormat="1" applyFont="1">
      <alignment/>
      <protection/>
    </xf>
    <xf numFmtId="4" fontId="0" fillId="0" borderId="25" xfId="44" applyNumberFormat="1" applyFont="1" applyFill="1" applyBorder="1" applyAlignment="1">
      <alignment/>
      <protection/>
    </xf>
    <xf numFmtId="0" fontId="12" fillId="0" borderId="0" xfId="44" applyFont="1" applyAlignment="1">
      <alignment horizontal="right"/>
      <protection/>
    </xf>
    <xf numFmtId="0" fontId="0" fillId="38" borderId="12" xfId="44" applyFont="1" applyFill="1" applyBorder="1">
      <alignment/>
      <protection/>
    </xf>
    <xf numFmtId="0" fontId="0" fillId="38" borderId="45" xfId="44" applyFont="1" applyFill="1" applyBorder="1" applyAlignment="1">
      <alignment/>
      <protection/>
    </xf>
    <xf numFmtId="4" fontId="0" fillId="38" borderId="12" xfId="44" applyNumberFormat="1" applyFont="1" applyFill="1" applyBorder="1" applyAlignment="1">
      <alignment vertical="center"/>
      <protection/>
    </xf>
    <xf numFmtId="4" fontId="0" fillId="38" borderId="25" xfId="44" applyNumberFormat="1" applyFont="1" applyFill="1" applyBorder="1" applyAlignment="1" quotePrefix="1">
      <alignment/>
      <protection/>
    </xf>
    <xf numFmtId="3" fontId="1" fillId="0" borderId="0" xfId="44" applyNumberFormat="1" applyFont="1">
      <alignment/>
      <protection/>
    </xf>
    <xf numFmtId="3" fontId="0" fillId="38" borderId="51" xfId="44" applyNumberFormat="1" applyFont="1" applyFill="1" applyBorder="1">
      <alignment/>
      <protection/>
    </xf>
    <xf numFmtId="0" fontId="2" fillId="0" borderId="0" xfId="44" applyFont="1" applyBorder="1">
      <alignment/>
      <protection/>
    </xf>
    <xf numFmtId="9" fontId="56" fillId="38" borderId="0" xfId="44" applyNumberFormat="1" applyFont="1" applyFill="1" applyBorder="1">
      <alignment/>
      <protection/>
    </xf>
    <xf numFmtId="3" fontId="10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190" fontId="10" fillId="0" borderId="0" xfId="0" applyNumberFormat="1" applyFont="1" applyAlignment="1" quotePrefix="1">
      <alignment/>
    </xf>
    <xf numFmtId="0" fontId="1" fillId="0" borderId="0" xfId="44" applyFont="1" applyAlignment="1">
      <alignment horizontal="center"/>
      <protection/>
    </xf>
    <xf numFmtId="0" fontId="1" fillId="0" borderId="54" xfId="44" applyFont="1" applyBorder="1" applyAlignment="1">
      <alignment horizontal="center" vertical="center"/>
      <protection/>
    </xf>
    <xf numFmtId="0" fontId="1" fillId="0" borderId="55" xfId="44" applyFont="1" applyBorder="1" applyAlignment="1">
      <alignment horizontal="center" vertical="center"/>
      <protection/>
    </xf>
    <xf numFmtId="16" fontId="1" fillId="0" borderId="56" xfId="44" applyNumberFormat="1" applyFont="1" applyBorder="1" applyAlignment="1">
      <alignment horizontal="center" vertical="center"/>
      <protection/>
    </xf>
    <xf numFmtId="0" fontId="1" fillId="0" borderId="54" xfId="44" applyNumberFormat="1" applyFont="1" applyBorder="1" applyAlignment="1">
      <alignment horizontal="center" wrapText="1"/>
      <protection/>
    </xf>
    <xf numFmtId="0" fontId="1" fillId="0" borderId="55" xfId="44" applyFont="1" applyBorder="1" applyAlignment="1">
      <alignment horizontal="center"/>
      <protection/>
    </xf>
    <xf numFmtId="16" fontId="1" fillId="0" borderId="56" xfId="44" applyNumberFormat="1" applyFont="1" applyBorder="1" applyAlignment="1">
      <alignment horizontal="center"/>
      <protection/>
    </xf>
    <xf numFmtId="0" fontId="1" fillId="0" borderId="54" xfId="44" applyFont="1" applyBorder="1" applyAlignment="1">
      <alignment horizontal="center"/>
      <protection/>
    </xf>
    <xf numFmtId="0" fontId="1" fillId="0" borderId="57" xfId="44" applyFont="1" applyBorder="1">
      <alignment/>
      <protection/>
    </xf>
    <xf numFmtId="0" fontId="1" fillId="0" borderId="58" xfId="44" applyFont="1" applyBorder="1" applyAlignment="1">
      <alignment horizontal="center"/>
      <protection/>
    </xf>
    <xf numFmtId="0" fontId="1" fillId="0" borderId="56" xfId="44" applyFont="1" applyBorder="1" applyAlignment="1">
      <alignment horizontal="center" vertical="center"/>
      <protection/>
    </xf>
    <xf numFmtId="3" fontId="0" fillId="0" borderId="0" xfId="44" applyNumberFormat="1" applyAlignment="1">
      <alignment vertical="center"/>
      <protection/>
    </xf>
    <xf numFmtId="3" fontId="0" fillId="0" borderId="59" xfId="44" applyNumberFormat="1" applyBorder="1" applyAlignment="1">
      <alignment vertical="center"/>
      <protection/>
    </xf>
    <xf numFmtId="3" fontId="0" fillId="0" borderId="59" xfId="44" applyNumberFormat="1" applyBorder="1">
      <alignment/>
      <protection/>
    </xf>
    <xf numFmtId="3" fontId="0" fillId="0" borderId="39" xfId="44" applyNumberFormat="1" applyBorder="1" applyAlignment="1">
      <alignment vertical="center"/>
      <protection/>
    </xf>
    <xf numFmtId="3" fontId="0" fillId="0" borderId="39" xfId="44" applyNumberFormat="1" applyBorder="1">
      <alignment/>
      <protection/>
    </xf>
    <xf numFmtId="3" fontId="0" fillId="0" borderId="60" xfId="44" applyNumberFormat="1" applyBorder="1" applyAlignment="1">
      <alignment vertical="center"/>
      <protection/>
    </xf>
    <xf numFmtId="3" fontId="0" fillId="0" borderId="60" xfId="44" applyNumberFormat="1" applyBorder="1">
      <alignment/>
      <protection/>
    </xf>
    <xf numFmtId="3" fontId="1" fillId="0" borderId="61" xfId="44" applyNumberFormat="1" applyFont="1" applyBorder="1" applyAlignment="1">
      <alignment vertical="center"/>
      <protection/>
    </xf>
    <xf numFmtId="3" fontId="1" fillId="0" borderId="62" xfId="44" applyNumberFormat="1" applyFont="1" applyBorder="1">
      <alignment/>
      <protection/>
    </xf>
    <xf numFmtId="0" fontId="1" fillId="39" borderId="57" xfId="44" applyFont="1" applyFill="1" applyBorder="1">
      <alignment/>
      <protection/>
    </xf>
    <xf numFmtId="0" fontId="1" fillId="39" borderId="58" xfId="44" applyFont="1" applyFill="1" applyBorder="1" applyAlignment="1">
      <alignment horizontal="center"/>
      <protection/>
    </xf>
    <xf numFmtId="0" fontId="0" fillId="0" borderId="55" xfId="44" applyBorder="1">
      <alignment/>
      <protection/>
    </xf>
    <xf numFmtId="0" fontId="0" fillId="0" borderId="56" xfId="44" applyBorder="1">
      <alignment/>
      <protection/>
    </xf>
    <xf numFmtId="3" fontId="1" fillId="0" borderId="63" xfId="44" applyNumberFormat="1" applyFont="1" applyBorder="1">
      <alignment/>
      <protection/>
    </xf>
    <xf numFmtId="3" fontId="1" fillId="0" borderId="64" xfId="44" applyNumberFormat="1" applyFont="1" applyBorder="1" applyAlignment="1">
      <alignment vertical="center"/>
      <protection/>
    </xf>
    <xf numFmtId="3" fontId="1" fillId="0" borderId="62" xfId="44" applyNumberFormat="1" applyFont="1" applyBorder="1" applyAlignment="1">
      <alignment vertical="center"/>
      <protection/>
    </xf>
    <xf numFmtId="0" fontId="2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16" fontId="0" fillId="0" borderId="12" xfId="44" applyNumberFormat="1" applyFont="1" applyBorder="1" applyAlignment="1" quotePrefix="1">
      <alignment horizontal="center"/>
      <protection/>
    </xf>
    <xf numFmtId="0" fontId="0" fillId="0" borderId="11" xfId="44" applyFont="1" applyBorder="1" applyAlignment="1" quotePrefix="1">
      <alignment horizontal="right"/>
      <protection/>
    </xf>
    <xf numFmtId="0" fontId="0" fillId="0" borderId="11" xfId="44" applyFont="1" applyBorder="1">
      <alignment/>
      <protection/>
    </xf>
    <xf numFmtId="0" fontId="0" fillId="0" borderId="0" xfId="44" applyFont="1" applyFill="1" applyBorder="1" applyAlignment="1">
      <alignment/>
      <protection/>
    </xf>
    <xf numFmtId="4" fontId="0" fillId="0" borderId="11" xfId="44" applyNumberFormat="1" applyFont="1" applyFill="1" applyBorder="1" applyAlignment="1">
      <alignment vertical="center"/>
      <protection/>
    </xf>
    <xf numFmtId="0" fontId="18" fillId="0" borderId="12" xfId="44" applyFont="1" applyBorder="1">
      <alignment/>
      <protection/>
    </xf>
    <xf numFmtId="0" fontId="18" fillId="0" borderId="45" xfId="44" applyFont="1" applyFill="1" applyBorder="1" applyAlignment="1">
      <alignment/>
      <protection/>
    </xf>
    <xf numFmtId="16" fontId="0" fillId="0" borderId="11" xfId="44" applyNumberFormat="1" applyFont="1" applyBorder="1" applyAlignment="1" quotePrefix="1">
      <alignment horizontal="right"/>
      <protection/>
    </xf>
    <xf numFmtId="3" fontId="1" fillId="0" borderId="57" xfId="44" applyNumberFormat="1" applyFont="1" applyBorder="1" applyAlignment="1">
      <alignment/>
      <protection/>
    </xf>
    <xf numFmtId="3" fontId="0" fillId="0" borderId="65" xfId="44" applyNumberFormat="1" applyBorder="1">
      <alignment/>
      <protection/>
    </xf>
    <xf numFmtId="0" fontId="0" fillId="0" borderId="0" xfId="0" applyBorder="1" applyAlignment="1">
      <alignment horizontal="right"/>
    </xf>
    <xf numFmtId="4" fontId="0" fillId="0" borderId="0" xfId="0" applyNumberFormat="1" applyAlignment="1">
      <alignment/>
    </xf>
    <xf numFmtId="0" fontId="1" fillId="0" borderId="13" xfId="44" applyFont="1" applyBorder="1">
      <alignment/>
      <protection/>
    </xf>
    <xf numFmtId="4" fontId="0" fillId="0" borderId="66" xfId="44" applyNumberFormat="1" applyFont="1" applyFill="1" applyBorder="1" applyAlignment="1" quotePrefix="1">
      <alignment/>
      <protection/>
    </xf>
    <xf numFmtId="4" fontId="0" fillId="0" borderId="19" xfId="44" applyNumberFormat="1" applyFont="1" applyFill="1" applyBorder="1" applyAlignment="1" quotePrefix="1">
      <alignment/>
      <protection/>
    </xf>
    <xf numFmtId="4" fontId="0" fillId="0" borderId="67" xfId="44" applyNumberFormat="1" applyFont="1" applyBorder="1" applyAlignment="1">
      <alignment/>
      <protection/>
    </xf>
    <xf numFmtId="0" fontId="0" fillId="0" borderId="0" xfId="0" applyFont="1" applyAlignment="1">
      <alignment/>
    </xf>
    <xf numFmtId="3" fontId="10" fillId="0" borderId="39" xfId="44" applyNumberFormat="1" applyFont="1" applyBorder="1" applyAlignment="1" quotePrefix="1">
      <alignment vertical="center"/>
      <protection/>
    </xf>
    <xf numFmtId="0" fontId="0" fillId="0" borderId="0" xfId="44" applyFont="1" applyAlignment="1">
      <alignment horizontal="right"/>
      <protection/>
    </xf>
    <xf numFmtId="0" fontId="0" fillId="38" borderId="0" xfId="44" applyFill="1">
      <alignment/>
      <protection/>
    </xf>
    <xf numFmtId="0" fontId="12" fillId="38" borderId="0" xfId="44" applyFont="1" applyFill="1">
      <alignment/>
      <protection/>
    </xf>
    <xf numFmtId="0" fontId="12" fillId="38" borderId="0" xfId="0" applyFont="1" applyFill="1" applyAlignment="1">
      <alignment/>
    </xf>
    <xf numFmtId="0" fontId="59" fillId="38" borderId="0" xfId="0" applyFont="1" applyFill="1" applyAlignment="1">
      <alignment/>
    </xf>
    <xf numFmtId="4" fontId="0" fillId="0" borderId="0" xfId="44" applyNumberFormat="1">
      <alignment/>
      <protection/>
    </xf>
    <xf numFmtId="0" fontId="0" fillId="0" borderId="11" xfId="44" applyFont="1" applyBorder="1" applyAlignment="1">
      <alignment horizontal="right"/>
      <protection/>
    </xf>
    <xf numFmtId="4" fontId="18" fillId="0" borderId="0" xfId="0" applyNumberFormat="1" applyFont="1" applyBorder="1" applyAlignment="1">
      <alignment/>
    </xf>
    <xf numFmtId="4" fontId="18" fillId="0" borderId="0" xfId="44" applyNumberFormat="1" applyFont="1">
      <alignment/>
      <protection/>
    </xf>
    <xf numFmtId="3" fontId="0" fillId="0" borderId="0" xfId="0" applyNumberFormat="1" applyAlignment="1">
      <alignment/>
    </xf>
    <xf numFmtId="3" fontId="18" fillId="0" borderId="0" xfId="0" applyNumberFormat="1" applyFont="1" applyAlignment="1">
      <alignment/>
    </xf>
    <xf numFmtId="0" fontId="18" fillId="0" borderId="0" xfId="0" applyFont="1" applyAlignment="1">
      <alignment horizontal="right"/>
    </xf>
    <xf numFmtId="0" fontId="18" fillId="0" borderId="0" xfId="0" applyFont="1" applyAlignment="1" quotePrefix="1">
      <alignment/>
    </xf>
    <xf numFmtId="0" fontId="0" fillId="38" borderId="11" xfId="44" applyFont="1" applyFill="1" applyBorder="1" applyAlignment="1" quotePrefix="1">
      <alignment/>
      <protection/>
    </xf>
    <xf numFmtId="0" fontId="0" fillId="38" borderId="11" xfId="44" applyFont="1" applyFill="1" applyBorder="1">
      <alignment/>
      <protection/>
    </xf>
    <xf numFmtId="0" fontId="0" fillId="38" borderId="0" xfId="44" applyFont="1" applyFill="1" applyBorder="1" applyAlignment="1">
      <alignment/>
      <protection/>
    </xf>
    <xf numFmtId="4" fontId="0" fillId="38" borderId="11" xfId="44" applyNumberFormat="1" applyFont="1" applyFill="1" applyBorder="1" applyAlignment="1">
      <alignment vertical="center"/>
      <protection/>
    </xf>
  </cellXfs>
  <cellStyles count="50">
    <cellStyle name="Normal" xfId="0"/>
    <cellStyle name="20 % - uthevingsfarge 1" xfId="15"/>
    <cellStyle name="20 % - uthevingsfarge 2" xfId="16"/>
    <cellStyle name="20 % - uthevingsfarge 3" xfId="17"/>
    <cellStyle name="20 % - uthevingsfarge 4" xfId="18"/>
    <cellStyle name="20 % - uthevingsfarge 5" xfId="19"/>
    <cellStyle name="20 % - uthevingsfarge 6" xfId="20"/>
    <cellStyle name="40 % - uthevingsfarge 1" xfId="21"/>
    <cellStyle name="40 % - uthevingsfarge 2" xfId="22"/>
    <cellStyle name="40 % - uthevingsfarge 3" xfId="23"/>
    <cellStyle name="40 % - uthevingsfarge 4" xfId="24"/>
    <cellStyle name="40 % - uthevingsfarge 5" xfId="25"/>
    <cellStyle name="40 % - uthevingsfarge 6" xfId="26"/>
    <cellStyle name="60 % - uthevingsfarge 1" xfId="27"/>
    <cellStyle name="60 % - uthevingsfarge 2" xfId="28"/>
    <cellStyle name="60 % - uthevingsfarge 3" xfId="29"/>
    <cellStyle name="60 % - uthevingsfarge 4" xfId="30"/>
    <cellStyle name="60 % - uthevingsfarge 5" xfId="31"/>
    <cellStyle name="60 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ormal_SKISTB" xfId="44"/>
    <cellStyle name="Nøytral" xfId="45"/>
    <cellStyle name="Overskrift 1" xfId="46"/>
    <cellStyle name="Overskrift 2" xfId="47"/>
    <cellStyle name="Overskrift 3" xfId="48"/>
    <cellStyle name="Overskrift 4" xfId="49"/>
    <cellStyle name="Percent" xfId="50"/>
    <cellStyle name="Tittel" xfId="51"/>
    <cellStyle name="Totalt" xfId="52"/>
    <cellStyle name="Comma [0]" xfId="53"/>
    <cellStyle name="Utdata" xfId="54"/>
    <cellStyle name="Uthevingsfarge1" xfId="55"/>
    <cellStyle name="Uthevingsfarge2" xfId="56"/>
    <cellStyle name="Uthevingsfarge3" xfId="57"/>
    <cellStyle name="Uthevingsfarge4" xfId="58"/>
    <cellStyle name="Uthevingsfarge5" xfId="59"/>
    <cellStyle name="Uthevingsfarge6" xfId="60"/>
    <cellStyle name="Currency" xfId="61"/>
    <cellStyle name="Currency [0]" xfId="62"/>
    <cellStyle name="Varsel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8"/>
  <sheetViews>
    <sheetView zoomScale="110" zoomScaleNormal="110" zoomScalePageLayoutView="0" workbookViewId="0" topLeftCell="A74">
      <selection activeCell="G179" sqref="G179"/>
    </sheetView>
  </sheetViews>
  <sheetFormatPr defaultColWidth="9.140625" defaultRowHeight="12.75"/>
  <cols>
    <col min="1" max="1" width="3.28125" style="4" customWidth="1"/>
    <col min="2" max="2" width="5.57421875" style="4" customWidth="1"/>
    <col min="3" max="3" width="19.8515625" style="8" customWidth="1"/>
    <col min="4" max="4" width="17.140625" style="5" customWidth="1"/>
    <col min="5" max="5" width="10.421875" style="6" customWidth="1"/>
    <col min="6" max="6" width="10.28125" style="5" customWidth="1"/>
    <col min="7" max="7" width="8.140625" style="2" customWidth="1"/>
    <col min="8" max="8" width="5.00390625" style="2" customWidth="1"/>
    <col min="9" max="9" width="6.7109375" style="2" customWidth="1"/>
    <col min="10" max="10" width="9.8515625" style="2" customWidth="1"/>
    <col min="11" max="11" width="7.00390625" style="2" customWidth="1"/>
    <col min="12" max="16384" width="9.140625" style="2" customWidth="1"/>
  </cols>
  <sheetData>
    <row r="1" spans="1:7" ht="23.25" customHeight="1" thickTop="1">
      <c r="A1" s="171" t="s">
        <v>7</v>
      </c>
      <c r="B1" s="56"/>
      <c r="C1" s="59" t="s">
        <v>9</v>
      </c>
      <c r="D1" s="58"/>
      <c r="E1" s="9" t="s">
        <v>42</v>
      </c>
      <c r="F1" s="32"/>
      <c r="G1" s="13"/>
    </row>
    <row r="2" spans="1:7" ht="12.75" customHeight="1">
      <c r="A2" s="115"/>
      <c r="B2" s="115"/>
      <c r="C2" s="118" t="s">
        <v>44</v>
      </c>
      <c r="D2" s="134"/>
      <c r="E2" s="116"/>
      <c r="F2" s="117"/>
      <c r="G2" s="13"/>
    </row>
    <row r="3" spans="1:7" ht="12.75" thickBot="1">
      <c r="A3" s="33"/>
      <c r="B3" s="33"/>
      <c r="C3" s="65" t="s">
        <v>5</v>
      </c>
      <c r="D3" s="132"/>
      <c r="E3" s="34" t="s">
        <v>0</v>
      </c>
      <c r="F3" s="36" t="s">
        <v>1</v>
      </c>
      <c r="G3" s="44"/>
    </row>
    <row r="4" spans="1:7" ht="15" customHeight="1" thickTop="1">
      <c r="A4" s="35" t="s">
        <v>2</v>
      </c>
      <c r="B4" s="150" t="s">
        <v>56</v>
      </c>
      <c r="C4" s="106" t="s">
        <v>95</v>
      </c>
      <c r="D4" s="57"/>
      <c r="E4" s="41">
        <v>60869.78</v>
      </c>
      <c r="F4" s="39"/>
      <c r="G4" s="44"/>
    </row>
    <row r="5" spans="1:7" ht="15" customHeight="1">
      <c r="A5" s="10"/>
      <c r="B5" s="190" t="s">
        <v>56</v>
      </c>
      <c r="C5" s="191" t="s">
        <v>95</v>
      </c>
      <c r="D5" s="192"/>
      <c r="E5" s="189">
        <v>609.9</v>
      </c>
      <c r="F5" s="39"/>
      <c r="G5" s="44"/>
    </row>
    <row r="6" spans="1:7" ht="12.75" customHeight="1">
      <c r="A6" s="11">
        <v>1</v>
      </c>
      <c r="B6" s="11" t="s">
        <v>88</v>
      </c>
      <c r="C6" s="109" t="s">
        <v>89</v>
      </c>
      <c r="D6" s="113"/>
      <c r="E6" s="42"/>
      <c r="F6" s="43">
        <v>1000</v>
      </c>
      <c r="G6" s="47"/>
    </row>
    <row r="7" spans="1:7" ht="12.75" customHeight="1">
      <c r="A7" s="11">
        <v>2</v>
      </c>
      <c r="B7" s="11" t="s">
        <v>90</v>
      </c>
      <c r="C7" s="109" t="s">
        <v>91</v>
      </c>
      <c r="D7" s="113"/>
      <c r="E7" s="42"/>
      <c r="F7" s="43">
        <v>232.4</v>
      </c>
      <c r="G7" s="47"/>
    </row>
    <row r="8" spans="1:7" ht="12.75" customHeight="1">
      <c r="A8" s="11">
        <v>3</v>
      </c>
      <c r="B8" s="11" t="s">
        <v>92</v>
      </c>
      <c r="C8" s="109" t="s">
        <v>68</v>
      </c>
      <c r="D8" s="113"/>
      <c r="E8" s="42"/>
      <c r="F8" s="43">
        <v>113.75</v>
      </c>
      <c r="G8" s="47"/>
    </row>
    <row r="9" spans="1:7" ht="12.75" customHeight="1">
      <c r="A9" s="11"/>
      <c r="B9" s="11" t="s">
        <v>92</v>
      </c>
      <c r="C9" s="109" t="s">
        <v>69</v>
      </c>
      <c r="D9" s="113"/>
      <c r="E9" s="42"/>
      <c r="F9" s="43">
        <v>300</v>
      </c>
      <c r="G9" s="47"/>
    </row>
    <row r="10" spans="1:7" ht="12.75" customHeight="1">
      <c r="A10" s="11"/>
      <c r="B10" s="11" t="s">
        <v>66</v>
      </c>
      <c r="C10" s="109" t="s">
        <v>50</v>
      </c>
      <c r="D10" s="113"/>
      <c r="E10" s="42">
        <v>702.09</v>
      </c>
      <c r="F10" s="43"/>
      <c r="G10" s="47"/>
    </row>
    <row r="11" spans="1:7" ht="12.75" customHeight="1">
      <c r="A11" s="11"/>
      <c r="B11" s="11" t="s">
        <v>67</v>
      </c>
      <c r="C11" s="109" t="s">
        <v>100</v>
      </c>
      <c r="D11" s="113"/>
      <c r="E11" s="42">
        <v>1000</v>
      </c>
      <c r="F11" s="43"/>
      <c r="G11" s="47"/>
    </row>
    <row r="12" spans="1:7" ht="12.75" customHeight="1">
      <c r="A12" s="11"/>
      <c r="B12" s="11" t="s">
        <v>94</v>
      </c>
      <c r="C12" s="109" t="s">
        <v>68</v>
      </c>
      <c r="D12" s="113"/>
      <c r="E12" s="42"/>
      <c r="F12" s="43">
        <v>2.5</v>
      </c>
      <c r="G12" s="261"/>
    </row>
    <row r="13" spans="1:7" ht="12.75" customHeight="1">
      <c r="A13" s="11">
        <v>4</v>
      </c>
      <c r="B13" s="11" t="s">
        <v>93</v>
      </c>
      <c r="C13" s="199" t="s">
        <v>54</v>
      </c>
      <c r="D13" s="200"/>
      <c r="E13" s="201">
        <v>25000</v>
      </c>
      <c r="F13" s="43"/>
      <c r="G13" s="261"/>
    </row>
    <row r="14" spans="1:7" ht="12.75" customHeight="1">
      <c r="A14" s="11">
        <v>5</v>
      </c>
      <c r="B14" s="11" t="s">
        <v>70</v>
      </c>
      <c r="C14" s="109" t="s">
        <v>96</v>
      </c>
      <c r="D14" s="113"/>
      <c r="E14" s="42"/>
      <c r="F14" s="43">
        <v>6600</v>
      </c>
      <c r="G14" s="261"/>
    </row>
    <row r="15" spans="1:7" ht="12.75" customHeight="1">
      <c r="A15" s="11">
        <v>6</v>
      </c>
      <c r="B15" s="11" t="s">
        <v>70</v>
      </c>
      <c r="C15" s="109" t="s">
        <v>97</v>
      </c>
      <c r="D15" s="113"/>
      <c r="E15" s="42"/>
      <c r="F15" s="43">
        <v>399.8</v>
      </c>
      <c r="G15" s="261"/>
    </row>
    <row r="16" spans="1:7" ht="12.75" customHeight="1">
      <c r="A16" s="11">
        <v>7</v>
      </c>
      <c r="B16" s="11" t="s">
        <v>98</v>
      </c>
      <c r="C16" s="109" t="s">
        <v>68</v>
      </c>
      <c r="D16" s="113"/>
      <c r="E16" s="42"/>
      <c r="F16" s="43">
        <v>94.5</v>
      </c>
      <c r="G16" s="261"/>
    </row>
    <row r="17" spans="1:11" ht="12.75" customHeight="1">
      <c r="A17" s="11"/>
      <c r="B17" s="11" t="s">
        <v>71</v>
      </c>
      <c r="C17" s="109" t="s">
        <v>99</v>
      </c>
      <c r="D17" s="113"/>
      <c r="E17" s="42">
        <v>1000</v>
      </c>
      <c r="F17" s="43"/>
      <c r="G17" s="261"/>
      <c r="H17" s="123"/>
      <c r="I17" s="123"/>
      <c r="J17" s="123"/>
      <c r="K17" s="123"/>
    </row>
    <row r="18" spans="1:11" ht="12.75" customHeight="1">
      <c r="A18" s="11"/>
      <c r="B18" s="11" t="s">
        <v>72</v>
      </c>
      <c r="C18" s="109" t="s">
        <v>101</v>
      </c>
      <c r="D18" s="113"/>
      <c r="E18" s="42"/>
      <c r="F18" s="43">
        <v>113.6</v>
      </c>
      <c r="G18" s="261"/>
      <c r="H18" s="123"/>
      <c r="I18" s="123"/>
      <c r="J18" s="123"/>
      <c r="K18" s="123"/>
    </row>
    <row r="19" spans="1:12" ht="12.75" customHeight="1">
      <c r="A19" s="11"/>
      <c r="B19" s="11" t="s">
        <v>102</v>
      </c>
      <c r="C19" s="109" t="s">
        <v>103</v>
      </c>
      <c r="D19" s="113"/>
      <c r="E19" s="42">
        <v>1000</v>
      </c>
      <c r="F19" s="43"/>
      <c r="G19" s="261"/>
      <c r="H19" s="40"/>
      <c r="I19" s="40"/>
      <c r="J19" s="40"/>
      <c r="K19" s="40"/>
      <c r="L19" s="40"/>
    </row>
    <row r="20" spans="1:7" ht="12.75" customHeight="1">
      <c r="A20" s="11"/>
      <c r="B20" s="11" t="s">
        <v>104</v>
      </c>
      <c r="C20" s="109" t="s">
        <v>105</v>
      </c>
      <c r="D20" s="113"/>
      <c r="E20" s="42">
        <v>3000</v>
      </c>
      <c r="F20" s="43"/>
      <c r="G20" s="261"/>
    </row>
    <row r="21" spans="1:7" ht="12.75" customHeight="1">
      <c r="A21" s="11"/>
      <c r="B21" s="11" t="s">
        <v>104</v>
      </c>
      <c r="C21" s="109" t="s">
        <v>106</v>
      </c>
      <c r="D21" s="113"/>
      <c r="E21" s="42">
        <v>5850</v>
      </c>
      <c r="F21" s="43"/>
      <c r="G21" s="261"/>
    </row>
    <row r="22" spans="1:7" ht="12.75" customHeight="1">
      <c r="A22" s="11"/>
      <c r="B22" s="11" t="s">
        <v>107</v>
      </c>
      <c r="C22" s="109" t="s">
        <v>73</v>
      </c>
      <c r="D22" s="113"/>
      <c r="E22" s="42">
        <v>1000</v>
      </c>
      <c r="F22" s="43"/>
      <c r="G22" s="261"/>
    </row>
    <row r="23" spans="1:7" ht="12.75" customHeight="1">
      <c r="A23" s="11"/>
      <c r="B23" s="11" t="s">
        <v>108</v>
      </c>
      <c r="C23" s="109" t="s">
        <v>68</v>
      </c>
      <c r="D23" s="113"/>
      <c r="E23" s="42"/>
      <c r="F23" s="43">
        <v>7.5</v>
      </c>
      <c r="G23" s="262"/>
    </row>
    <row r="24" spans="1:7" ht="12.75" customHeight="1">
      <c r="A24" s="11"/>
      <c r="B24" s="11" t="s">
        <v>109</v>
      </c>
      <c r="C24" s="199" t="s">
        <v>110</v>
      </c>
      <c r="D24" s="200"/>
      <c r="E24" s="201"/>
      <c r="F24" s="202">
        <v>5271</v>
      </c>
      <c r="G24" s="261"/>
    </row>
    <row r="25" spans="1:7" ht="12.75" customHeight="1">
      <c r="A25" s="11" t="s">
        <v>111</v>
      </c>
      <c r="B25" s="11" t="s">
        <v>109</v>
      </c>
      <c r="C25" s="109" t="s">
        <v>101</v>
      </c>
      <c r="D25" s="113"/>
      <c r="E25" s="42"/>
      <c r="F25" s="43">
        <v>71.93</v>
      </c>
      <c r="G25" s="261"/>
    </row>
    <row r="26" spans="1:7" ht="12.75" customHeight="1">
      <c r="A26" s="11">
        <v>10</v>
      </c>
      <c r="B26" s="11" t="s">
        <v>112</v>
      </c>
      <c r="C26" s="109" t="s">
        <v>113</v>
      </c>
      <c r="D26" s="113"/>
      <c r="E26" s="42"/>
      <c r="F26" s="43">
        <v>10670</v>
      </c>
      <c r="G26" s="261"/>
    </row>
    <row r="27" spans="1:7" ht="12.75" customHeight="1">
      <c r="A27" s="11">
        <v>11</v>
      </c>
      <c r="B27" s="11" t="s">
        <v>114</v>
      </c>
      <c r="C27" s="109" t="s">
        <v>97</v>
      </c>
      <c r="D27" s="113"/>
      <c r="E27" s="42"/>
      <c r="F27" s="43">
        <v>399.8</v>
      </c>
      <c r="G27" s="261"/>
    </row>
    <row r="28" spans="1:7" ht="12.75" customHeight="1">
      <c r="A28" s="11">
        <v>12</v>
      </c>
      <c r="B28" s="11" t="s">
        <v>77</v>
      </c>
      <c r="C28" s="109" t="s">
        <v>115</v>
      </c>
      <c r="D28" s="113"/>
      <c r="E28" s="42"/>
      <c r="F28" s="43">
        <v>700</v>
      </c>
      <c r="G28" s="47"/>
    </row>
    <row r="29" spans="1:7" ht="12.75" customHeight="1">
      <c r="A29" s="11">
        <v>13</v>
      </c>
      <c r="B29" s="11" t="s">
        <v>116</v>
      </c>
      <c r="C29" s="109" t="s">
        <v>76</v>
      </c>
      <c r="D29" s="113"/>
      <c r="E29" s="42"/>
      <c r="F29" s="43">
        <v>8800</v>
      </c>
      <c r="G29" s="47"/>
    </row>
    <row r="30" spans="1:7" ht="12.75" customHeight="1">
      <c r="A30" s="11" t="s">
        <v>117</v>
      </c>
      <c r="B30" s="11" t="s">
        <v>118</v>
      </c>
      <c r="C30" s="109" t="s">
        <v>119</v>
      </c>
      <c r="D30" s="113"/>
      <c r="E30" s="42"/>
      <c r="F30" s="43">
        <v>257.7</v>
      </c>
      <c r="G30" s="47"/>
    </row>
    <row r="31" spans="1:7" ht="12.75" customHeight="1">
      <c r="A31" s="11">
        <v>15</v>
      </c>
      <c r="B31" s="139" t="s">
        <v>112</v>
      </c>
      <c r="C31" s="109" t="s">
        <v>68</v>
      </c>
      <c r="D31" s="113"/>
      <c r="E31" s="42"/>
      <c r="F31" s="43">
        <v>99</v>
      </c>
      <c r="G31" s="47"/>
    </row>
    <row r="32" spans="1:7" ht="12.75" customHeight="1">
      <c r="A32" s="11"/>
      <c r="B32" s="139" t="s">
        <v>120</v>
      </c>
      <c r="C32" s="109" t="s">
        <v>121</v>
      </c>
      <c r="D32" s="113"/>
      <c r="E32" s="42">
        <v>2000</v>
      </c>
      <c r="F32" s="43"/>
      <c r="G32" s="47"/>
    </row>
    <row r="33" spans="1:6" ht="12.75" customHeight="1">
      <c r="A33" s="11"/>
      <c r="B33" s="11" t="s">
        <v>75</v>
      </c>
      <c r="C33" s="109" t="s">
        <v>68</v>
      </c>
      <c r="D33" s="113"/>
      <c r="E33" s="42"/>
      <c r="F33" s="43">
        <v>2.5</v>
      </c>
    </row>
    <row r="34" spans="1:7" ht="12.75" customHeight="1">
      <c r="A34" s="11">
        <v>16</v>
      </c>
      <c r="B34" s="11" t="s">
        <v>130</v>
      </c>
      <c r="C34" s="109" t="s">
        <v>131</v>
      </c>
      <c r="D34" s="113"/>
      <c r="E34" s="42"/>
      <c r="F34" s="43">
        <v>500</v>
      </c>
      <c r="G34" s="47"/>
    </row>
    <row r="35" spans="1:7" ht="12.75" customHeight="1">
      <c r="A35" s="151"/>
      <c r="B35" s="151" t="s">
        <v>130</v>
      </c>
      <c r="C35" s="176" t="s">
        <v>132</v>
      </c>
      <c r="D35" s="113"/>
      <c r="E35" s="153"/>
      <c r="F35" s="154">
        <v>500</v>
      </c>
      <c r="G35" s="47"/>
    </row>
    <row r="36" spans="1:7" ht="12.75" customHeight="1">
      <c r="A36" s="151">
        <v>17</v>
      </c>
      <c r="B36" s="151" t="s">
        <v>133</v>
      </c>
      <c r="C36" s="176" t="s">
        <v>134</v>
      </c>
      <c r="D36" s="113"/>
      <c r="E36" s="153"/>
      <c r="F36" s="154">
        <v>25</v>
      </c>
      <c r="G36" s="47"/>
    </row>
    <row r="37" spans="1:7" ht="12.75" customHeight="1">
      <c r="A37" s="151">
        <v>18</v>
      </c>
      <c r="B37" s="151" t="s">
        <v>77</v>
      </c>
      <c r="C37" s="176" t="s">
        <v>68</v>
      </c>
      <c r="D37" s="113"/>
      <c r="E37" s="153"/>
      <c r="F37" s="154">
        <v>94.5</v>
      </c>
      <c r="G37" s="47"/>
    </row>
    <row r="38" spans="1:7" ht="12.75" customHeight="1">
      <c r="A38" s="151"/>
      <c r="B38" s="151" t="s">
        <v>116</v>
      </c>
      <c r="C38" s="176" t="s">
        <v>135</v>
      </c>
      <c r="D38" s="113"/>
      <c r="E38" s="153">
        <v>1000</v>
      </c>
      <c r="F38" s="154"/>
      <c r="G38" s="47"/>
    </row>
    <row r="39" spans="1:7" ht="12.75" customHeight="1">
      <c r="A39" s="151"/>
      <c r="B39" s="151" t="s">
        <v>118</v>
      </c>
      <c r="C39" s="176" t="s">
        <v>136</v>
      </c>
      <c r="D39" s="113"/>
      <c r="E39" s="153">
        <v>1000</v>
      </c>
      <c r="F39" s="154"/>
      <c r="G39" s="47"/>
    </row>
    <row r="40" spans="1:7" ht="12.75" customHeight="1">
      <c r="A40" s="151"/>
      <c r="B40" s="151" t="s">
        <v>137</v>
      </c>
      <c r="C40" s="176" t="s">
        <v>138</v>
      </c>
      <c r="D40" s="113"/>
      <c r="E40" s="153">
        <v>2000</v>
      </c>
      <c r="F40" s="154"/>
      <c r="G40" s="47"/>
    </row>
    <row r="41" spans="1:7" ht="12.75" customHeight="1">
      <c r="A41" s="151"/>
      <c r="B41" s="151" t="s">
        <v>133</v>
      </c>
      <c r="C41" s="176" t="s">
        <v>139</v>
      </c>
      <c r="D41" s="113"/>
      <c r="E41" s="153">
        <v>6032.6</v>
      </c>
      <c r="F41" s="154"/>
      <c r="G41" s="47"/>
    </row>
    <row r="42" spans="1:7" ht="12.75" customHeight="1">
      <c r="A42" s="151"/>
      <c r="B42" s="151" t="s">
        <v>140</v>
      </c>
      <c r="C42" s="176" t="s">
        <v>141</v>
      </c>
      <c r="D42" s="113"/>
      <c r="E42" s="153">
        <v>500</v>
      </c>
      <c r="F42" s="154"/>
      <c r="G42" s="47"/>
    </row>
    <row r="43" spans="1:7" ht="12.75" customHeight="1">
      <c r="A43" s="151"/>
      <c r="B43" s="151" t="s">
        <v>140</v>
      </c>
      <c r="C43" s="176" t="s">
        <v>142</v>
      </c>
      <c r="D43" s="113"/>
      <c r="E43" s="153">
        <v>1000</v>
      </c>
      <c r="F43" s="154"/>
      <c r="G43" s="47"/>
    </row>
    <row r="44" spans="1:7" ht="12.75" customHeight="1">
      <c r="A44" s="151"/>
      <c r="B44" s="151" t="s">
        <v>143</v>
      </c>
      <c r="C44" s="176" t="s">
        <v>144</v>
      </c>
      <c r="D44" s="113"/>
      <c r="E44" s="153">
        <v>150</v>
      </c>
      <c r="F44" s="154"/>
      <c r="G44" s="47"/>
    </row>
    <row r="45" spans="1:7" ht="12.75" customHeight="1">
      <c r="A45" s="151"/>
      <c r="B45" s="151" t="s">
        <v>130</v>
      </c>
      <c r="C45" s="176" t="s">
        <v>145</v>
      </c>
      <c r="D45" s="113"/>
      <c r="E45" s="153">
        <v>3000</v>
      </c>
      <c r="F45" s="154"/>
      <c r="G45" s="47"/>
    </row>
    <row r="46" spans="1:7" ht="12.75" customHeight="1">
      <c r="A46" s="151"/>
      <c r="B46" s="151" t="s">
        <v>130</v>
      </c>
      <c r="C46" s="176" t="s">
        <v>146</v>
      </c>
      <c r="D46" s="113"/>
      <c r="E46" s="153">
        <v>3400</v>
      </c>
      <c r="F46" s="154"/>
      <c r="G46" s="47" t="s">
        <v>153</v>
      </c>
    </row>
    <row r="47" spans="1:7" ht="12.75" customHeight="1">
      <c r="A47" s="151"/>
      <c r="B47" s="151" t="s">
        <v>147</v>
      </c>
      <c r="C47" s="176" t="s">
        <v>148</v>
      </c>
      <c r="D47" s="113"/>
      <c r="E47" s="153">
        <v>1000</v>
      </c>
      <c r="F47" s="154"/>
      <c r="G47" s="47"/>
    </row>
    <row r="48" spans="1:7" ht="12.75" customHeight="1">
      <c r="A48" s="151"/>
      <c r="B48" s="151" t="s">
        <v>149</v>
      </c>
      <c r="C48" s="176" t="s">
        <v>150</v>
      </c>
      <c r="D48" s="113"/>
      <c r="E48" s="153">
        <v>300</v>
      </c>
      <c r="F48" s="154"/>
      <c r="G48" s="47"/>
    </row>
    <row r="49" spans="1:7" ht="12.75" customHeight="1">
      <c r="A49" s="151"/>
      <c r="B49" s="151" t="s">
        <v>151</v>
      </c>
      <c r="C49" s="176" t="s">
        <v>68</v>
      </c>
      <c r="D49" s="113"/>
      <c r="E49" s="153"/>
      <c r="F49" s="154">
        <v>5</v>
      </c>
      <c r="G49" s="47"/>
    </row>
    <row r="50" spans="1:7" ht="12.75" customHeight="1">
      <c r="A50" s="151">
        <v>19</v>
      </c>
      <c r="B50" s="151" t="s">
        <v>152</v>
      </c>
      <c r="C50" s="176" t="s">
        <v>154</v>
      </c>
      <c r="D50" s="113"/>
      <c r="E50" s="153"/>
      <c r="F50" s="154">
        <v>15070</v>
      </c>
      <c r="G50" s="47"/>
    </row>
    <row r="51" spans="1:7" ht="12.75" customHeight="1">
      <c r="A51" s="151">
        <v>20</v>
      </c>
      <c r="B51" s="151" t="s">
        <v>155</v>
      </c>
      <c r="C51" s="176" t="s">
        <v>156</v>
      </c>
      <c r="D51" s="113"/>
      <c r="E51" s="153"/>
      <c r="F51" s="154">
        <v>6000</v>
      </c>
      <c r="G51" s="261"/>
    </row>
    <row r="52" spans="1:7" ht="12.75" customHeight="1">
      <c r="A52" s="151">
        <v>21</v>
      </c>
      <c r="B52" s="151" t="s">
        <v>157</v>
      </c>
      <c r="C52" s="176" t="s">
        <v>158</v>
      </c>
      <c r="D52" s="113"/>
      <c r="E52" s="153"/>
      <c r="F52" s="154">
        <v>7500</v>
      </c>
      <c r="G52" s="261"/>
    </row>
    <row r="53" spans="1:7" ht="12.75" customHeight="1">
      <c r="A53" s="151">
        <v>22</v>
      </c>
      <c r="B53" s="151" t="s">
        <v>157</v>
      </c>
      <c r="C53" s="176" t="s">
        <v>159</v>
      </c>
      <c r="D53" s="113"/>
      <c r="E53" s="153"/>
      <c r="F53" s="154">
        <v>200</v>
      </c>
      <c r="G53" s="261"/>
    </row>
    <row r="54" spans="1:7" ht="12.75" customHeight="1">
      <c r="A54" s="151">
        <v>23</v>
      </c>
      <c r="B54" s="151" t="s">
        <v>157</v>
      </c>
      <c r="C54" s="176" t="s">
        <v>160</v>
      </c>
      <c r="D54" s="113"/>
      <c r="E54" s="153"/>
      <c r="F54" s="154">
        <v>750</v>
      </c>
      <c r="G54" s="261"/>
    </row>
    <row r="55" spans="1:7" ht="12.75" customHeight="1">
      <c r="A55" s="151">
        <v>24</v>
      </c>
      <c r="B55" s="151" t="s">
        <v>157</v>
      </c>
      <c r="C55" s="176" t="s">
        <v>161</v>
      </c>
      <c r="D55" s="113"/>
      <c r="E55" s="153"/>
      <c r="F55" s="154">
        <v>750</v>
      </c>
      <c r="G55" s="261"/>
    </row>
    <row r="56" spans="1:7" ht="12.75" customHeight="1">
      <c r="A56" s="151">
        <v>25</v>
      </c>
      <c r="B56" s="151" t="s">
        <v>157</v>
      </c>
      <c r="C56" s="176" t="s">
        <v>162</v>
      </c>
      <c r="D56" s="113"/>
      <c r="E56" s="153"/>
      <c r="F56" s="154">
        <v>900</v>
      </c>
      <c r="G56" s="261"/>
    </row>
    <row r="57" spans="1:7" ht="12.75" customHeight="1">
      <c r="A57" s="151">
        <v>26</v>
      </c>
      <c r="B57" s="151" t="s">
        <v>163</v>
      </c>
      <c r="C57" s="176" t="s">
        <v>164</v>
      </c>
      <c r="D57" s="113"/>
      <c r="E57" s="153"/>
      <c r="F57" s="154">
        <v>1500</v>
      </c>
      <c r="G57" s="261"/>
    </row>
    <row r="58" spans="1:7" ht="12.75" customHeight="1">
      <c r="A58" s="151">
        <v>27</v>
      </c>
      <c r="B58" s="151" t="s">
        <v>165</v>
      </c>
      <c r="C58" s="176" t="s">
        <v>166</v>
      </c>
      <c r="D58" s="113"/>
      <c r="E58" s="153"/>
      <c r="F58" s="154">
        <v>7000</v>
      </c>
      <c r="G58" s="261"/>
    </row>
    <row r="59" spans="1:7" ht="12.75" customHeight="1">
      <c r="A59" s="151">
        <v>28</v>
      </c>
      <c r="B59" s="151" t="s">
        <v>152</v>
      </c>
      <c r="C59" s="176" t="s">
        <v>167</v>
      </c>
      <c r="D59" s="113"/>
      <c r="E59" s="153">
        <v>2519.5</v>
      </c>
      <c r="F59" s="154"/>
      <c r="G59" s="261"/>
    </row>
    <row r="60" spans="1:7" ht="12.75" customHeight="1">
      <c r="A60" s="151">
        <v>29</v>
      </c>
      <c r="B60" s="151" t="s">
        <v>168</v>
      </c>
      <c r="C60" s="176" t="s">
        <v>68</v>
      </c>
      <c r="D60" s="113"/>
      <c r="E60" s="153"/>
      <c r="F60" s="154">
        <v>104.75</v>
      </c>
      <c r="G60" s="47"/>
    </row>
    <row r="61" spans="1:7" ht="12.75" customHeight="1">
      <c r="A61" s="151"/>
      <c r="B61" s="151" t="s">
        <v>168</v>
      </c>
      <c r="C61" s="176" t="s">
        <v>209</v>
      </c>
      <c r="D61" s="113"/>
      <c r="E61" s="153">
        <v>40000</v>
      </c>
      <c r="F61" s="154"/>
      <c r="G61" s="47"/>
    </row>
    <row r="62" spans="1:7" ht="12.75" customHeight="1">
      <c r="A62" s="151"/>
      <c r="B62" s="151" t="s">
        <v>169</v>
      </c>
      <c r="C62" s="176" t="s">
        <v>170</v>
      </c>
      <c r="D62" s="113"/>
      <c r="E62" s="153">
        <v>0.97</v>
      </c>
      <c r="F62" s="154"/>
      <c r="G62" s="47"/>
    </row>
    <row r="63" spans="1:7" ht="12.75" customHeight="1">
      <c r="A63" s="151"/>
      <c r="B63" s="151" t="s">
        <v>169</v>
      </c>
      <c r="C63" s="176" t="s">
        <v>50</v>
      </c>
      <c r="D63" s="113"/>
      <c r="E63" s="153">
        <v>950.75</v>
      </c>
      <c r="F63" s="154"/>
      <c r="G63" s="47"/>
    </row>
    <row r="64" spans="1:7" ht="12.75" customHeight="1">
      <c r="A64" s="151"/>
      <c r="B64" s="151" t="s">
        <v>171</v>
      </c>
      <c r="C64" s="176" t="s">
        <v>172</v>
      </c>
      <c r="D64" s="113"/>
      <c r="E64" s="153">
        <v>1000</v>
      </c>
      <c r="F64" s="154"/>
      <c r="G64" s="47"/>
    </row>
    <row r="65" spans="1:9" ht="12.75" customHeight="1">
      <c r="A65" s="151"/>
      <c r="B65" s="151" t="s">
        <v>171</v>
      </c>
      <c r="C65" s="176" t="s">
        <v>173</v>
      </c>
      <c r="D65" s="113"/>
      <c r="E65" s="153">
        <v>10360</v>
      </c>
      <c r="F65" s="154"/>
      <c r="G65" s="47"/>
      <c r="I65" s="123"/>
    </row>
    <row r="66" spans="1:8" ht="12.75" customHeight="1">
      <c r="A66" s="151">
        <v>30</v>
      </c>
      <c r="B66" s="151" t="s">
        <v>174</v>
      </c>
      <c r="C66" s="176" t="s">
        <v>175</v>
      </c>
      <c r="D66" s="113"/>
      <c r="E66" s="153"/>
      <c r="F66" s="154"/>
      <c r="G66" s="47"/>
      <c r="H66" s="12"/>
    </row>
    <row r="67" spans="1:7" ht="12.75" customHeight="1">
      <c r="A67" s="151"/>
      <c r="B67" s="151"/>
      <c r="C67" s="176" t="s">
        <v>176</v>
      </c>
      <c r="D67" s="113"/>
      <c r="E67" s="153"/>
      <c r="F67" s="154">
        <v>20538</v>
      </c>
      <c r="G67" s="47"/>
    </row>
    <row r="68" spans="1:10" ht="12.75" customHeight="1">
      <c r="A68" s="151" t="s">
        <v>177</v>
      </c>
      <c r="B68" s="151" t="s">
        <v>174</v>
      </c>
      <c r="C68" s="176" t="s">
        <v>178</v>
      </c>
      <c r="D68" s="113"/>
      <c r="E68" s="153"/>
      <c r="F68" s="154">
        <v>3000</v>
      </c>
      <c r="G68" s="47"/>
      <c r="J68" s="112" t="s">
        <v>337</v>
      </c>
    </row>
    <row r="69" spans="1:10" ht="12.75" customHeight="1">
      <c r="A69" s="151">
        <v>32</v>
      </c>
      <c r="B69" s="151" t="s">
        <v>179</v>
      </c>
      <c r="C69" s="176" t="s">
        <v>180</v>
      </c>
      <c r="D69" s="113"/>
      <c r="E69" s="153"/>
      <c r="F69" s="154">
        <v>750</v>
      </c>
      <c r="G69" s="47"/>
      <c r="I69" s="259"/>
      <c r="J69" s="105">
        <v>25000</v>
      </c>
    </row>
    <row r="70" spans="1:10" ht="12.75" customHeight="1">
      <c r="A70" s="151">
        <v>33</v>
      </c>
      <c r="B70" s="151" t="s">
        <v>181</v>
      </c>
      <c r="C70" s="176" t="s">
        <v>182</v>
      </c>
      <c r="D70" s="113"/>
      <c r="E70" s="153"/>
      <c r="F70" s="154">
        <v>2000</v>
      </c>
      <c r="G70" s="47"/>
      <c r="I70" s="259"/>
      <c r="J70" s="105">
        <v>-5271</v>
      </c>
    </row>
    <row r="71" spans="1:10" ht="12.75" customHeight="1">
      <c r="A71" s="151">
        <v>34</v>
      </c>
      <c r="B71" s="151" t="s">
        <v>183</v>
      </c>
      <c r="C71" s="176" t="s">
        <v>184</v>
      </c>
      <c r="D71" s="113"/>
      <c r="E71" s="153"/>
      <c r="F71" s="154">
        <v>18000</v>
      </c>
      <c r="G71" s="47"/>
      <c r="I71" s="259"/>
      <c r="J71" s="105">
        <v>-6000</v>
      </c>
    </row>
    <row r="72" spans="1:10" ht="12.75" customHeight="1">
      <c r="A72" s="151">
        <v>35</v>
      </c>
      <c r="B72" s="151" t="s">
        <v>185</v>
      </c>
      <c r="C72" s="176" t="s">
        <v>187</v>
      </c>
      <c r="D72" s="113"/>
      <c r="E72" s="153"/>
      <c r="F72" s="154">
        <v>1000</v>
      </c>
      <c r="G72" s="47"/>
      <c r="I72" s="259"/>
      <c r="J72" s="105">
        <v>-7500</v>
      </c>
    </row>
    <row r="73" spans="1:10" ht="12.75" customHeight="1">
      <c r="A73" s="151"/>
      <c r="B73" s="151" t="s">
        <v>185</v>
      </c>
      <c r="C73" s="176" t="s">
        <v>186</v>
      </c>
      <c r="D73" s="113"/>
      <c r="E73" s="153"/>
      <c r="F73" s="154">
        <v>1000</v>
      </c>
      <c r="H73" s="44"/>
      <c r="I73" s="259"/>
      <c r="J73" s="105">
        <v>-900</v>
      </c>
    </row>
    <row r="74" spans="1:10" ht="12.75" customHeight="1">
      <c r="A74" s="151"/>
      <c r="B74" s="151" t="s">
        <v>185</v>
      </c>
      <c r="C74" s="176" t="s">
        <v>188</v>
      </c>
      <c r="D74" s="113"/>
      <c r="E74" s="153"/>
      <c r="F74" s="154">
        <v>5000</v>
      </c>
      <c r="H74" s="44"/>
      <c r="I74" s="260"/>
      <c r="J74" s="105">
        <v>2519.5</v>
      </c>
    </row>
    <row r="75" spans="1:11" ht="12.75" customHeight="1">
      <c r="A75" s="151">
        <v>36</v>
      </c>
      <c r="B75" s="151" t="s">
        <v>185</v>
      </c>
      <c r="C75" s="176" t="s">
        <v>189</v>
      </c>
      <c r="D75" s="113"/>
      <c r="E75" s="153"/>
      <c r="F75" s="154">
        <v>2000</v>
      </c>
      <c r="H75" s="44"/>
      <c r="I75" s="198"/>
      <c r="J75" s="105">
        <v>609.9</v>
      </c>
      <c r="K75" s="123" t="s">
        <v>338</v>
      </c>
    </row>
    <row r="76" spans="1:10" ht="12.75" customHeight="1">
      <c r="A76" s="151"/>
      <c r="B76" s="151" t="s">
        <v>185</v>
      </c>
      <c r="C76" s="176" t="s">
        <v>190</v>
      </c>
      <c r="D76" s="113"/>
      <c r="E76" s="153"/>
      <c r="F76" s="154">
        <v>1000</v>
      </c>
      <c r="H76" s="44"/>
      <c r="I76" s="198"/>
      <c r="J76" s="196">
        <f>SUM(J69:J75)</f>
        <v>8458.4</v>
      </c>
    </row>
    <row r="77" spans="1:8" ht="12.75" customHeight="1">
      <c r="A77" s="151">
        <v>37</v>
      </c>
      <c r="B77" s="151" t="s">
        <v>185</v>
      </c>
      <c r="C77" s="176" t="s">
        <v>191</v>
      </c>
      <c r="D77" s="113"/>
      <c r="E77" s="153">
        <v>20000</v>
      </c>
      <c r="F77" s="154"/>
      <c r="H77" s="44"/>
    </row>
    <row r="78" spans="1:10" ht="12.75" customHeight="1">
      <c r="A78" s="151">
        <v>38</v>
      </c>
      <c r="B78" s="151" t="s">
        <v>192</v>
      </c>
      <c r="C78" s="176" t="s">
        <v>68</v>
      </c>
      <c r="D78" s="113"/>
      <c r="E78" s="153"/>
      <c r="F78" s="154">
        <v>127.25</v>
      </c>
      <c r="H78" s="44"/>
      <c r="J78" s="105"/>
    </row>
    <row r="79" spans="1:8" ht="12.75" customHeight="1">
      <c r="A79" s="151"/>
      <c r="B79" s="151" t="s">
        <v>193</v>
      </c>
      <c r="C79" s="176" t="s">
        <v>194</v>
      </c>
      <c r="D79" s="113"/>
      <c r="E79" s="153">
        <v>1000</v>
      </c>
      <c r="F79" s="154"/>
      <c r="H79" s="44"/>
    </row>
    <row r="80" spans="1:8" ht="12.75" customHeight="1">
      <c r="A80" s="151"/>
      <c r="B80" s="151" t="s">
        <v>195</v>
      </c>
      <c r="C80" s="176" t="s">
        <v>196</v>
      </c>
      <c r="D80" s="113"/>
      <c r="E80" s="153">
        <v>1000</v>
      </c>
      <c r="F80" s="154"/>
      <c r="H80" s="44"/>
    </row>
    <row r="81" spans="1:6" ht="12.75" customHeight="1">
      <c r="A81" s="151"/>
      <c r="B81" s="151" t="s">
        <v>197</v>
      </c>
      <c r="C81" s="176" t="s">
        <v>198</v>
      </c>
      <c r="D81" s="113"/>
      <c r="E81" s="153">
        <v>150</v>
      </c>
      <c r="F81" s="154"/>
    </row>
    <row r="82" spans="1:8" ht="12.75" customHeight="1">
      <c r="A82" s="151"/>
      <c r="B82" s="151" t="s">
        <v>199</v>
      </c>
      <c r="C82" s="176" t="s">
        <v>200</v>
      </c>
      <c r="D82" s="113"/>
      <c r="E82" s="153">
        <v>9700</v>
      </c>
      <c r="F82" s="154"/>
      <c r="G82" s="195"/>
      <c r="H82" s="44"/>
    </row>
    <row r="83" spans="1:7" ht="12.75" customHeight="1">
      <c r="A83" s="151"/>
      <c r="B83" s="151" t="s">
        <v>183</v>
      </c>
      <c r="C83" s="176" t="s">
        <v>201</v>
      </c>
      <c r="D83" s="113"/>
      <c r="E83" s="153">
        <v>4000</v>
      </c>
      <c r="F83" s="154"/>
      <c r="G83" s="47"/>
    </row>
    <row r="84" spans="1:7" ht="12.75" customHeight="1">
      <c r="A84" s="151">
        <v>39</v>
      </c>
      <c r="B84" s="151" t="s">
        <v>202</v>
      </c>
      <c r="C84" s="176" t="s">
        <v>203</v>
      </c>
      <c r="D84" s="113"/>
      <c r="E84" s="153"/>
      <c r="F84" s="154">
        <v>10670</v>
      </c>
      <c r="G84" s="47"/>
    </row>
    <row r="85" spans="1:7" ht="12.75" customHeight="1">
      <c r="A85" s="151">
        <v>40</v>
      </c>
      <c r="B85" s="151" t="s">
        <v>204</v>
      </c>
      <c r="C85" s="176" t="s">
        <v>205</v>
      </c>
      <c r="D85" s="113"/>
      <c r="E85" s="153"/>
      <c r="F85" s="154">
        <v>4235</v>
      </c>
      <c r="G85" s="47" t="s">
        <v>207</v>
      </c>
    </row>
    <row r="86" spans="1:7" ht="12.75" customHeight="1">
      <c r="A86" s="151">
        <v>41</v>
      </c>
      <c r="B86" s="151" t="s">
        <v>204</v>
      </c>
      <c r="C86" s="176" t="s">
        <v>206</v>
      </c>
      <c r="D86" s="113"/>
      <c r="E86" s="153"/>
      <c r="F86" s="197">
        <v>11146</v>
      </c>
      <c r="G86" s="47" t="s">
        <v>208</v>
      </c>
    </row>
    <row r="87" spans="1:7" ht="12.75" customHeight="1">
      <c r="A87" s="151"/>
      <c r="B87" s="151" t="s">
        <v>210</v>
      </c>
      <c r="C87" s="176" t="s">
        <v>68</v>
      </c>
      <c r="D87" s="113"/>
      <c r="E87" s="153"/>
      <c r="F87" s="197">
        <v>135</v>
      </c>
      <c r="G87" s="47"/>
    </row>
    <row r="88" spans="1:7" ht="12.75" customHeight="1">
      <c r="A88" s="151">
        <v>42</v>
      </c>
      <c r="B88" s="151" t="s">
        <v>204</v>
      </c>
      <c r="C88" s="176" t="s">
        <v>217</v>
      </c>
      <c r="D88" s="113"/>
      <c r="E88" s="153">
        <v>3000</v>
      </c>
      <c r="F88" s="197"/>
      <c r="G88" s="47"/>
    </row>
    <row r="89" spans="1:7" ht="12.75" customHeight="1">
      <c r="A89" s="151"/>
      <c r="B89" s="151" t="s">
        <v>204</v>
      </c>
      <c r="C89" s="176" t="s">
        <v>216</v>
      </c>
      <c r="D89" s="113"/>
      <c r="E89" s="153">
        <v>3000</v>
      </c>
      <c r="F89" s="197"/>
      <c r="G89" s="47"/>
    </row>
    <row r="90" spans="1:7" ht="12.75" customHeight="1">
      <c r="A90" s="151"/>
      <c r="B90" s="151" t="s">
        <v>218</v>
      </c>
      <c r="C90" s="176" t="s">
        <v>219</v>
      </c>
      <c r="D90" s="113"/>
      <c r="E90" s="153">
        <v>1000</v>
      </c>
      <c r="F90" s="197"/>
      <c r="G90" s="47"/>
    </row>
    <row r="91" spans="1:7" ht="12.75" customHeight="1">
      <c r="A91" s="151">
        <v>43</v>
      </c>
      <c r="B91" s="151" t="s">
        <v>220</v>
      </c>
      <c r="C91" s="176" t="s">
        <v>221</v>
      </c>
      <c r="D91" s="113"/>
      <c r="E91" s="153"/>
      <c r="F91" s="197">
        <v>350</v>
      </c>
      <c r="G91" s="47"/>
    </row>
    <row r="92" spans="1:7" ht="12.75" customHeight="1">
      <c r="A92" s="151">
        <v>44</v>
      </c>
      <c r="B92" s="151" t="s">
        <v>222</v>
      </c>
      <c r="C92" s="176" t="s">
        <v>223</v>
      </c>
      <c r="D92" s="113"/>
      <c r="E92" s="153"/>
      <c r="F92" s="197">
        <v>750</v>
      </c>
      <c r="G92" s="47"/>
    </row>
    <row r="93" spans="1:7" ht="12.75" customHeight="1">
      <c r="A93" s="151">
        <v>45</v>
      </c>
      <c r="B93" s="151" t="s">
        <v>224</v>
      </c>
      <c r="C93" s="176" t="s">
        <v>68</v>
      </c>
      <c r="D93" s="113"/>
      <c r="E93" s="153"/>
      <c r="F93" s="197">
        <v>103.5</v>
      </c>
      <c r="G93" s="47"/>
    </row>
    <row r="94" spans="1:7" ht="12.75" customHeight="1">
      <c r="A94" s="151"/>
      <c r="B94" s="151" t="s">
        <v>222</v>
      </c>
      <c r="C94" s="176" t="s">
        <v>225</v>
      </c>
      <c r="D94" s="113"/>
      <c r="E94" s="153">
        <v>12000</v>
      </c>
      <c r="F94" s="197"/>
      <c r="G94" s="47"/>
    </row>
    <row r="95" spans="1:7" ht="12.75" customHeight="1">
      <c r="A95" s="151"/>
      <c r="B95" s="151" t="s">
        <v>222</v>
      </c>
      <c r="C95" s="176" t="s">
        <v>226</v>
      </c>
      <c r="D95" s="113"/>
      <c r="E95" s="153">
        <v>15000</v>
      </c>
      <c r="F95" s="197"/>
      <c r="G95" s="47"/>
    </row>
    <row r="96" spans="1:7" ht="12.75" customHeight="1">
      <c r="A96" s="151"/>
      <c r="B96" s="151" t="s">
        <v>227</v>
      </c>
      <c r="C96" s="176" t="s">
        <v>228</v>
      </c>
      <c r="D96" s="113"/>
      <c r="E96" s="153">
        <v>1000</v>
      </c>
      <c r="F96" s="197"/>
      <c r="G96" s="47"/>
    </row>
    <row r="97" spans="1:7" ht="12.75" customHeight="1">
      <c r="A97" s="151">
        <v>47</v>
      </c>
      <c r="B97" s="151" t="s">
        <v>231</v>
      </c>
      <c r="C97" s="176" t="s">
        <v>232</v>
      </c>
      <c r="D97" s="113"/>
      <c r="E97" s="153"/>
      <c r="F97" s="197">
        <v>12545</v>
      </c>
      <c r="G97" s="47"/>
    </row>
    <row r="98" spans="1:7" ht="12.75" customHeight="1">
      <c r="A98" s="151">
        <v>48</v>
      </c>
      <c r="B98" s="151" t="s">
        <v>276</v>
      </c>
      <c r="C98" s="176" t="s">
        <v>97</v>
      </c>
      <c r="D98" s="113"/>
      <c r="E98" s="153"/>
      <c r="F98" s="197">
        <v>189.9</v>
      </c>
      <c r="G98" s="47" t="s">
        <v>295</v>
      </c>
    </row>
    <row r="99" spans="1:7" ht="12.75" customHeight="1">
      <c r="A99" s="151">
        <v>49</v>
      </c>
      <c r="B99" s="151" t="s">
        <v>276</v>
      </c>
      <c r="C99" s="176" t="s">
        <v>277</v>
      </c>
      <c r="D99" s="113"/>
      <c r="E99" s="153"/>
      <c r="F99" s="197">
        <v>9045</v>
      </c>
      <c r="G99" s="47"/>
    </row>
    <row r="100" spans="1:7" ht="12.75" customHeight="1">
      <c r="A100" s="151">
        <v>50</v>
      </c>
      <c r="B100" s="151" t="s">
        <v>278</v>
      </c>
      <c r="C100" s="176" t="s">
        <v>279</v>
      </c>
      <c r="D100" s="113"/>
      <c r="E100" s="153"/>
      <c r="F100" s="197">
        <v>2500</v>
      </c>
      <c r="G100" s="47"/>
    </row>
    <row r="101" spans="1:7" ht="12.75" customHeight="1">
      <c r="A101" s="151">
        <v>51</v>
      </c>
      <c r="B101" s="151" t="s">
        <v>278</v>
      </c>
      <c r="C101" s="176" t="s">
        <v>280</v>
      </c>
      <c r="D101" s="113"/>
      <c r="E101" s="153"/>
      <c r="F101" s="197">
        <v>2000</v>
      </c>
      <c r="G101" s="47"/>
    </row>
    <row r="102" spans="1:7" ht="12.75" customHeight="1">
      <c r="A102" s="151"/>
      <c r="B102" s="151" t="s">
        <v>278</v>
      </c>
      <c r="C102" s="176" t="s">
        <v>281</v>
      </c>
      <c r="D102" s="113"/>
      <c r="E102" s="153"/>
      <c r="F102" s="197">
        <v>2000</v>
      </c>
      <c r="G102" s="47"/>
    </row>
    <row r="103" spans="1:7" ht="12.75" customHeight="1">
      <c r="A103" s="151"/>
      <c r="B103" s="151" t="s">
        <v>278</v>
      </c>
      <c r="C103" s="176" t="s">
        <v>282</v>
      </c>
      <c r="D103" s="113"/>
      <c r="E103" s="153"/>
      <c r="F103" s="197">
        <v>2000</v>
      </c>
      <c r="G103" s="47"/>
    </row>
    <row r="104" spans="1:7" ht="12.75" customHeight="1">
      <c r="A104" s="151"/>
      <c r="B104" s="151" t="s">
        <v>278</v>
      </c>
      <c r="C104" s="176" t="s">
        <v>283</v>
      </c>
      <c r="D104" s="113"/>
      <c r="E104" s="153"/>
      <c r="F104" s="197">
        <v>3900</v>
      </c>
      <c r="G104" s="47"/>
    </row>
    <row r="105" spans="1:7" ht="12.75" customHeight="1">
      <c r="A105" s="151">
        <v>52</v>
      </c>
      <c r="B105" s="240" t="s">
        <v>285</v>
      </c>
      <c r="C105" s="176" t="s">
        <v>284</v>
      </c>
      <c r="D105" s="113"/>
      <c r="E105" s="153"/>
      <c r="F105" s="197">
        <v>1010.5</v>
      </c>
      <c r="G105" s="47"/>
    </row>
    <row r="106" spans="1:7" ht="12.75" customHeight="1">
      <c r="A106" s="151"/>
      <c r="B106" s="151" t="s">
        <v>285</v>
      </c>
      <c r="C106" s="176" t="s">
        <v>286</v>
      </c>
      <c r="D106" s="113"/>
      <c r="E106" s="153"/>
      <c r="F106" s="197">
        <v>4000</v>
      </c>
      <c r="G106" s="47"/>
    </row>
    <row r="107" spans="1:7" ht="12.75" customHeight="1">
      <c r="A107" s="151">
        <v>53</v>
      </c>
      <c r="B107" s="151" t="s">
        <v>229</v>
      </c>
      <c r="C107" s="176" t="s">
        <v>68</v>
      </c>
      <c r="D107" s="113"/>
      <c r="E107" s="153"/>
      <c r="F107" s="197">
        <v>99</v>
      </c>
      <c r="G107" s="47"/>
    </row>
    <row r="108" spans="1:7" ht="12.75" customHeight="1">
      <c r="A108" s="151"/>
      <c r="B108" s="151" t="s">
        <v>230</v>
      </c>
      <c r="C108" s="176" t="s">
        <v>287</v>
      </c>
      <c r="D108" s="113"/>
      <c r="E108" s="153">
        <v>9.75</v>
      </c>
      <c r="F108" s="197"/>
      <c r="G108" s="47"/>
    </row>
    <row r="109" spans="1:7" ht="12.75" customHeight="1">
      <c r="A109" s="151"/>
      <c r="B109" s="151" t="s">
        <v>230</v>
      </c>
      <c r="C109" s="176" t="s">
        <v>50</v>
      </c>
      <c r="D109" s="113"/>
      <c r="E109" s="153">
        <v>982.05</v>
      </c>
      <c r="F109" s="197"/>
      <c r="G109" s="47"/>
    </row>
    <row r="110" spans="1:7" ht="12.75" customHeight="1">
      <c r="A110" s="151"/>
      <c r="B110" s="151" t="s">
        <v>276</v>
      </c>
      <c r="C110" s="176" t="s">
        <v>103</v>
      </c>
      <c r="D110" s="113"/>
      <c r="E110" s="153">
        <v>1000</v>
      </c>
      <c r="F110" s="197"/>
      <c r="G110" s="47"/>
    </row>
    <row r="111" spans="1:7" ht="12.75" customHeight="1">
      <c r="A111" s="151"/>
      <c r="B111" s="151" t="s">
        <v>288</v>
      </c>
      <c r="C111" s="176" t="s">
        <v>289</v>
      </c>
      <c r="D111" s="113"/>
      <c r="E111" s="153">
        <v>1000</v>
      </c>
      <c r="F111" s="197"/>
      <c r="G111" s="47"/>
    </row>
    <row r="112" spans="1:7" ht="12.75" customHeight="1">
      <c r="A112" s="151"/>
      <c r="B112" s="151" t="s">
        <v>290</v>
      </c>
      <c r="C112" s="176" t="s">
        <v>291</v>
      </c>
      <c r="D112" s="113"/>
      <c r="E112" s="153">
        <v>750</v>
      </c>
      <c r="F112" s="197">
        <v>18.75</v>
      </c>
      <c r="G112" s="47"/>
    </row>
    <row r="113" spans="1:7" ht="12.75" customHeight="1">
      <c r="A113" s="151"/>
      <c r="B113" s="151"/>
      <c r="C113" s="176" t="s">
        <v>292</v>
      </c>
      <c r="D113" s="113"/>
      <c r="E113" s="153">
        <v>30</v>
      </c>
      <c r="F113" s="197">
        <v>0.75</v>
      </c>
      <c r="G113" s="47"/>
    </row>
    <row r="114" spans="1:7" ht="12.75" customHeight="1">
      <c r="A114" s="151"/>
      <c r="B114" s="151" t="s">
        <v>285</v>
      </c>
      <c r="C114" s="176" t="s">
        <v>293</v>
      </c>
      <c r="D114" s="113"/>
      <c r="E114" s="153">
        <v>2300</v>
      </c>
      <c r="F114" s="197"/>
      <c r="G114" s="47"/>
    </row>
    <row r="115" spans="1:7" ht="12.75" customHeight="1">
      <c r="A115" s="151"/>
      <c r="B115" s="151" t="s">
        <v>294</v>
      </c>
      <c r="C115" s="176" t="s">
        <v>68</v>
      </c>
      <c r="D115" s="113"/>
      <c r="E115" s="153"/>
      <c r="F115" s="197">
        <v>2.5</v>
      </c>
      <c r="G115" s="47"/>
    </row>
    <row r="116" spans="1:7" ht="12.75" customHeight="1">
      <c r="A116" s="151">
        <v>54</v>
      </c>
      <c r="B116" s="151" t="s">
        <v>296</v>
      </c>
      <c r="C116" s="176" t="s">
        <v>297</v>
      </c>
      <c r="D116" s="113"/>
      <c r="E116" s="153"/>
      <c r="F116" s="197">
        <v>10600</v>
      </c>
      <c r="G116" s="47"/>
    </row>
    <row r="117" spans="1:7" ht="12.75" customHeight="1">
      <c r="A117" s="151">
        <v>55</v>
      </c>
      <c r="B117" s="151" t="s">
        <v>298</v>
      </c>
      <c r="C117" s="176" t="s">
        <v>299</v>
      </c>
      <c r="D117" s="113"/>
      <c r="E117" s="153"/>
      <c r="F117" s="197">
        <v>200</v>
      </c>
      <c r="G117" s="47"/>
    </row>
    <row r="118" spans="1:7" ht="12.75" customHeight="1">
      <c r="A118" s="151">
        <v>56</v>
      </c>
      <c r="B118" s="151" t="s">
        <v>300</v>
      </c>
      <c r="C118" s="176" t="s">
        <v>301</v>
      </c>
      <c r="D118" s="113"/>
      <c r="E118" s="153"/>
      <c r="F118" s="197">
        <v>900</v>
      </c>
      <c r="G118" s="47"/>
    </row>
    <row r="119" spans="1:7" ht="12.75" customHeight="1">
      <c r="A119" s="151">
        <v>57</v>
      </c>
      <c r="B119" s="151" t="s">
        <v>302</v>
      </c>
      <c r="C119" s="176" t="s">
        <v>303</v>
      </c>
      <c r="D119" s="113"/>
      <c r="E119" s="153"/>
      <c r="F119" s="197">
        <v>2500</v>
      </c>
      <c r="G119" s="47"/>
    </row>
    <row r="120" spans="1:7" ht="12.75" customHeight="1">
      <c r="A120" s="151">
        <v>59</v>
      </c>
      <c r="B120" s="151" t="s">
        <v>304</v>
      </c>
      <c r="C120" s="176" t="s">
        <v>305</v>
      </c>
      <c r="D120" s="113"/>
      <c r="E120" s="153"/>
      <c r="F120" s="197">
        <v>3900</v>
      </c>
      <c r="G120" s="47"/>
    </row>
    <row r="121" spans="1:7" ht="12.75" customHeight="1">
      <c r="A121" s="151">
        <v>60</v>
      </c>
      <c r="B121" s="151" t="s">
        <v>304</v>
      </c>
      <c r="C121" s="176" t="s">
        <v>306</v>
      </c>
      <c r="D121" s="113"/>
      <c r="E121" s="153"/>
      <c r="F121" s="197">
        <v>4000</v>
      </c>
      <c r="G121" s="47"/>
    </row>
    <row r="122" spans="1:7" ht="12.75" customHeight="1">
      <c r="A122" s="151">
        <v>61</v>
      </c>
      <c r="B122" s="240" t="s">
        <v>304</v>
      </c>
      <c r="C122" s="176" t="s">
        <v>307</v>
      </c>
      <c r="D122" s="113"/>
      <c r="E122" s="153"/>
      <c r="F122" s="197">
        <v>1161</v>
      </c>
      <c r="G122" s="47"/>
    </row>
    <row r="123" spans="1:7" ht="12.75" customHeight="1">
      <c r="A123" s="151">
        <v>62</v>
      </c>
      <c r="B123" s="151" t="s">
        <v>308</v>
      </c>
      <c r="C123" s="176" t="s">
        <v>309</v>
      </c>
      <c r="D123" s="113"/>
      <c r="E123" s="153"/>
      <c r="F123" s="197">
        <v>46</v>
      </c>
      <c r="G123" s="47"/>
    </row>
    <row r="124" spans="1:7" ht="12.75" customHeight="1">
      <c r="A124" s="151">
        <v>63</v>
      </c>
      <c r="B124" s="240" t="s">
        <v>304</v>
      </c>
      <c r="C124" s="176" t="s">
        <v>310</v>
      </c>
      <c r="D124" s="113"/>
      <c r="E124" s="153"/>
      <c r="F124" s="197">
        <v>180</v>
      </c>
      <c r="G124" s="47"/>
    </row>
    <row r="125" spans="1:7" ht="12.75" customHeight="1">
      <c r="A125" s="151"/>
      <c r="B125" s="151" t="s">
        <v>304</v>
      </c>
      <c r="C125" s="176" t="s">
        <v>311</v>
      </c>
      <c r="D125" s="113"/>
      <c r="E125" s="153"/>
      <c r="F125" s="197">
        <v>15000</v>
      </c>
      <c r="G125" s="47"/>
    </row>
    <row r="126" spans="1:7" ht="12.75" customHeight="1">
      <c r="A126" s="151">
        <v>64</v>
      </c>
      <c r="B126" s="151" t="s">
        <v>312</v>
      </c>
      <c r="C126" s="176" t="s">
        <v>313</v>
      </c>
      <c r="D126" s="113"/>
      <c r="E126" s="153"/>
      <c r="F126" s="197">
        <v>15000</v>
      </c>
      <c r="G126" s="47"/>
    </row>
    <row r="127" spans="1:7" ht="12.75" customHeight="1">
      <c r="A127" s="151">
        <v>65</v>
      </c>
      <c r="B127" s="151" t="s">
        <v>314</v>
      </c>
      <c r="C127" s="176" t="s">
        <v>68</v>
      </c>
      <c r="D127" s="113"/>
      <c r="E127" s="153"/>
      <c r="F127" s="197">
        <v>127.25</v>
      </c>
      <c r="G127" s="47"/>
    </row>
    <row r="128" spans="1:7" ht="12.75" customHeight="1">
      <c r="A128" s="151"/>
      <c r="B128" s="151" t="s">
        <v>315</v>
      </c>
      <c r="C128" s="176" t="s">
        <v>316</v>
      </c>
      <c r="D128" s="113"/>
      <c r="E128" s="153">
        <v>5000</v>
      </c>
      <c r="F128" s="197"/>
      <c r="G128" s="47"/>
    </row>
    <row r="129" spans="1:7" ht="12.75" customHeight="1">
      <c r="A129" s="151"/>
      <c r="B129" s="151" t="s">
        <v>304</v>
      </c>
      <c r="C129" s="176" t="s">
        <v>317</v>
      </c>
      <c r="D129" s="113"/>
      <c r="E129" s="153">
        <v>1400</v>
      </c>
      <c r="F129" s="197">
        <v>35</v>
      </c>
      <c r="G129" s="47"/>
    </row>
    <row r="130" spans="1:7" ht="12.75" customHeight="1">
      <c r="A130" s="151"/>
      <c r="B130" s="151" t="s">
        <v>304</v>
      </c>
      <c r="C130" s="176" t="s">
        <v>318</v>
      </c>
      <c r="D130" s="113"/>
      <c r="E130" s="153">
        <v>1000</v>
      </c>
      <c r="F130" s="197">
        <v>25</v>
      </c>
      <c r="G130" s="47"/>
    </row>
    <row r="131" spans="1:7" ht="12.75" customHeight="1">
      <c r="A131" s="151"/>
      <c r="B131" s="151" t="s">
        <v>319</v>
      </c>
      <c r="C131" s="176" t="s">
        <v>320</v>
      </c>
      <c r="D131" s="113"/>
      <c r="E131" s="153">
        <v>5500</v>
      </c>
      <c r="F131" s="197"/>
      <c r="G131" s="47"/>
    </row>
    <row r="132" spans="1:7" ht="12.75" customHeight="1">
      <c r="A132" s="151"/>
      <c r="B132" s="151" t="s">
        <v>304</v>
      </c>
      <c r="C132" s="176" t="s">
        <v>321</v>
      </c>
      <c r="D132" s="113"/>
      <c r="E132" s="153">
        <v>6300</v>
      </c>
      <c r="F132" s="197"/>
      <c r="G132" s="47"/>
    </row>
    <row r="133" spans="1:7" ht="12.75" customHeight="1">
      <c r="A133" s="151"/>
      <c r="B133" s="151" t="s">
        <v>312</v>
      </c>
      <c r="C133" s="176" t="s">
        <v>322</v>
      </c>
      <c r="D133" s="113"/>
      <c r="E133" s="153">
        <v>1000</v>
      </c>
      <c r="F133" s="197"/>
      <c r="G133" s="47"/>
    </row>
    <row r="134" spans="1:7" ht="12.75" customHeight="1">
      <c r="A134" s="151"/>
      <c r="B134" s="151" t="s">
        <v>312</v>
      </c>
      <c r="C134" s="176" t="s">
        <v>323</v>
      </c>
      <c r="D134" s="113"/>
      <c r="E134" s="153">
        <v>10000</v>
      </c>
      <c r="F134" s="197"/>
      <c r="G134" s="47"/>
    </row>
    <row r="135" spans="1:10" ht="12.75" customHeight="1">
      <c r="A135" s="151"/>
      <c r="B135" s="151" t="s">
        <v>324</v>
      </c>
      <c r="C135" s="176" t="s">
        <v>68</v>
      </c>
      <c r="D135" s="113"/>
      <c r="E135" s="153"/>
      <c r="F135" s="197">
        <v>2.5</v>
      </c>
      <c r="G135" s="47"/>
      <c r="J135" s="263"/>
    </row>
    <row r="136" spans="1:10" ht="12.75" customHeight="1">
      <c r="A136" s="151">
        <v>66</v>
      </c>
      <c r="B136" s="151" t="s">
        <v>325</v>
      </c>
      <c r="C136" s="176" t="s">
        <v>326</v>
      </c>
      <c r="D136" s="113"/>
      <c r="E136" s="153"/>
      <c r="F136" s="197"/>
      <c r="G136" s="47"/>
      <c r="H136" s="44"/>
      <c r="I136" s="198" t="s">
        <v>339</v>
      </c>
      <c r="J136" s="105">
        <v>32539.26</v>
      </c>
    </row>
    <row r="137" spans="1:10" ht="12.75" customHeight="1">
      <c r="A137" s="151"/>
      <c r="B137" s="152"/>
      <c r="C137" s="245" t="s">
        <v>327</v>
      </c>
      <c r="D137" s="246"/>
      <c r="E137" s="153"/>
      <c r="F137" s="154">
        <v>23655</v>
      </c>
      <c r="G137" s="47"/>
      <c r="H137" s="44"/>
      <c r="I137" s="44"/>
      <c r="J137" s="105">
        <v>-23655</v>
      </c>
    </row>
    <row r="138" spans="1:10" ht="12.75" customHeight="1">
      <c r="A138" s="190">
        <v>67</v>
      </c>
      <c r="B138" s="247" t="s">
        <v>328</v>
      </c>
      <c r="C138" s="242" t="s">
        <v>68</v>
      </c>
      <c r="D138" s="243"/>
      <c r="E138" s="244"/>
      <c r="F138" s="253">
        <v>130.5</v>
      </c>
      <c r="G138" s="47"/>
      <c r="H138" s="44"/>
      <c r="I138" s="44"/>
      <c r="J138" s="105">
        <v>-130.5</v>
      </c>
    </row>
    <row r="139" spans="1:10" ht="12.75" customHeight="1">
      <c r="A139" s="190">
        <v>68</v>
      </c>
      <c r="B139" s="264" t="s">
        <v>349</v>
      </c>
      <c r="C139" s="242" t="s">
        <v>350</v>
      </c>
      <c r="D139" s="243"/>
      <c r="E139" s="244"/>
      <c r="F139" s="254">
        <v>3936</v>
      </c>
      <c r="G139" s="47"/>
      <c r="H139" s="44"/>
      <c r="I139" s="44"/>
      <c r="J139" s="105">
        <f>SUM(J136:J138)</f>
        <v>8753.759999999998</v>
      </c>
    </row>
    <row r="140" spans="1:10" ht="12.75" customHeight="1">
      <c r="A140" s="190">
        <v>69</v>
      </c>
      <c r="B140" s="241" t="s">
        <v>351</v>
      </c>
      <c r="C140" s="242" t="s">
        <v>352</v>
      </c>
      <c r="D140" s="243"/>
      <c r="E140" s="244"/>
      <c r="F140" s="254">
        <v>2000</v>
      </c>
      <c r="G140" s="47"/>
      <c r="H140" s="44"/>
      <c r="I140" s="44"/>
      <c r="J140" s="105"/>
    </row>
    <row r="141" spans="1:10" ht="12.75" customHeight="1">
      <c r="A141" s="190">
        <v>70</v>
      </c>
      <c r="B141" s="241" t="s">
        <v>351</v>
      </c>
      <c r="C141" s="242" t="s">
        <v>353</v>
      </c>
      <c r="D141" s="243"/>
      <c r="E141" s="244">
        <v>20000</v>
      </c>
      <c r="F141" s="254"/>
      <c r="G141" s="47"/>
      <c r="H141" s="44"/>
      <c r="I141" s="44"/>
      <c r="J141" s="105"/>
    </row>
    <row r="142" spans="1:10" ht="12.75" customHeight="1">
      <c r="A142" s="190">
        <v>71</v>
      </c>
      <c r="B142" s="241" t="s">
        <v>354</v>
      </c>
      <c r="C142" s="242" t="s">
        <v>355</v>
      </c>
      <c r="D142" s="243"/>
      <c r="E142" s="244"/>
      <c r="F142" s="254">
        <v>500</v>
      </c>
      <c r="G142" s="47"/>
      <c r="H142" s="44"/>
      <c r="I142" s="44"/>
      <c r="J142" s="105"/>
    </row>
    <row r="143" spans="1:10" ht="12.75" customHeight="1">
      <c r="A143" s="190">
        <v>72</v>
      </c>
      <c r="B143" s="241" t="s">
        <v>356</v>
      </c>
      <c r="C143" s="242" t="s">
        <v>357</v>
      </c>
      <c r="D143" s="243"/>
      <c r="E143" s="244"/>
      <c r="F143" s="254">
        <v>1500</v>
      </c>
      <c r="G143" s="47"/>
      <c r="H143" s="44"/>
      <c r="I143" s="44"/>
      <c r="J143" s="105"/>
    </row>
    <row r="144" spans="1:10" ht="12.75" customHeight="1">
      <c r="A144" s="190"/>
      <c r="B144" s="241" t="s">
        <v>356</v>
      </c>
      <c r="C144" s="242" t="s">
        <v>358</v>
      </c>
      <c r="D144" s="243"/>
      <c r="E144" s="244"/>
      <c r="F144" s="254">
        <v>3000</v>
      </c>
      <c r="G144" s="47"/>
      <c r="H144" s="44"/>
      <c r="I144" s="44"/>
      <c r="J144" s="105"/>
    </row>
    <row r="145" spans="1:10" ht="12.75" customHeight="1">
      <c r="A145" s="190">
        <v>73</v>
      </c>
      <c r="B145" s="241" t="s">
        <v>360</v>
      </c>
      <c r="C145" s="242" t="s">
        <v>361</v>
      </c>
      <c r="D145" s="243"/>
      <c r="E145" s="244">
        <v>1000</v>
      </c>
      <c r="F145" s="254"/>
      <c r="G145" s="47"/>
      <c r="H145" s="44"/>
      <c r="I145" s="44"/>
      <c r="J145" s="105"/>
    </row>
    <row r="146" spans="1:10" ht="12.75" customHeight="1">
      <c r="A146" s="190"/>
      <c r="B146" s="241" t="s">
        <v>360</v>
      </c>
      <c r="C146" s="242" t="s">
        <v>362</v>
      </c>
      <c r="D146" s="243"/>
      <c r="E146" s="244">
        <v>1000</v>
      </c>
      <c r="F146" s="254"/>
      <c r="G146" s="47"/>
      <c r="H146" s="44"/>
      <c r="I146" s="44"/>
      <c r="J146" s="105"/>
    </row>
    <row r="147" spans="1:10" ht="12.75" customHeight="1">
      <c r="A147" s="190"/>
      <c r="B147" s="241" t="s">
        <v>363</v>
      </c>
      <c r="C147" s="242" t="s">
        <v>364</v>
      </c>
      <c r="D147" s="243"/>
      <c r="E147" s="244">
        <v>1000</v>
      </c>
      <c r="F147" s="254"/>
      <c r="G147" s="47"/>
      <c r="H147" s="44"/>
      <c r="I147" s="44"/>
      <c r="J147" s="105"/>
    </row>
    <row r="148" spans="1:10" ht="12.75" customHeight="1">
      <c r="A148" s="190"/>
      <c r="B148" s="241" t="s">
        <v>363</v>
      </c>
      <c r="C148" s="242" t="s">
        <v>365</v>
      </c>
      <c r="D148" s="243"/>
      <c r="E148" s="244">
        <v>1000</v>
      </c>
      <c r="F148" s="254"/>
      <c r="G148" s="47"/>
      <c r="H148" s="44"/>
      <c r="I148" s="44"/>
      <c r="J148" s="105"/>
    </row>
    <row r="149" spans="1:10" ht="12.75" customHeight="1">
      <c r="A149" s="190"/>
      <c r="B149" s="241" t="s">
        <v>359</v>
      </c>
      <c r="C149" s="242" t="s">
        <v>366</v>
      </c>
      <c r="D149" s="243"/>
      <c r="E149" s="244">
        <v>270</v>
      </c>
      <c r="F149" s="254"/>
      <c r="G149" s="47"/>
      <c r="H149" s="44"/>
      <c r="I149" s="44"/>
      <c r="J149" s="105"/>
    </row>
    <row r="150" spans="1:10" ht="12.75" customHeight="1">
      <c r="A150" s="190"/>
      <c r="B150" s="241" t="s">
        <v>359</v>
      </c>
      <c r="C150" s="242" t="s">
        <v>367</v>
      </c>
      <c r="D150" s="243"/>
      <c r="E150" s="244">
        <v>270</v>
      </c>
      <c r="F150" s="254"/>
      <c r="G150" s="47"/>
      <c r="H150" s="44"/>
      <c r="I150" s="44"/>
      <c r="J150" s="105"/>
    </row>
    <row r="151" spans="1:10" ht="12.75" customHeight="1">
      <c r="A151" s="190"/>
      <c r="B151" s="241" t="s">
        <v>368</v>
      </c>
      <c r="C151" s="242" t="s">
        <v>369</v>
      </c>
      <c r="D151" s="243"/>
      <c r="E151" s="244">
        <v>1000</v>
      </c>
      <c r="F151" s="254"/>
      <c r="G151" s="47"/>
      <c r="H151" s="44"/>
      <c r="I151" s="44"/>
      <c r="J151" s="105"/>
    </row>
    <row r="152" spans="1:10" ht="12.75" customHeight="1">
      <c r="A152" s="190"/>
      <c r="B152" s="241" t="s">
        <v>368</v>
      </c>
      <c r="C152" s="242" t="s">
        <v>99</v>
      </c>
      <c r="D152" s="243"/>
      <c r="E152" s="244">
        <v>1000</v>
      </c>
      <c r="F152" s="254"/>
      <c r="G152" s="47"/>
      <c r="H152" s="44"/>
      <c r="I152" s="44"/>
      <c r="J152" s="105"/>
    </row>
    <row r="153" spans="1:10" ht="12.75" customHeight="1">
      <c r="A153" s="190"/>
      <c r="B153" s="241" t="s">
        <v>370</v>
      </c>
      <c r="C153" s="242" t="s">
        <v>371</v>
      </c>
      <c r="D153" s="243"/>
      <c r="E153" s="244">
        <v>6900</v>
      </c>
      <c r="F153" s="254"/>
      <c r="G153" s="47"/>
      <c r="H153" s="44"/>
      <c r="I153" s="44"/>
      <c r="J153" s="105"/>
    </row>
    <row r="154" spans="1:10" ht="12.75" customHeight="1">
      <c r="A154" s="190"/>
      <c r="B154" s="241" t="s">
        <v>373</v>
      </c>
      <c r="C154" s="242" t="s">
        <v>372</v>
      </c>
      <c r="D154" s="243"/>
      <c r="E154" s="244">
        <v>270</v>
      </c>
      <c r="F154" s="254"/>
      <c r="G154" s="47"/>
      <c r="H154" s="44"/>
      <c r="I154" s="44"/>
      <c r="J154" s="105"/>
    </row>
    <row r="155" spans="1:10" ht="12.75" customHeight="1">
      <c r="A155" s="190"/>
      <c r="B155" s="241" t="s">
        <v>373</v>
      </c>
      <c r="C155" s="242" t="s">
        <v>374</v>
      </c>
      <c r="D155" s="243"/>
      <c r="E155" s="244">
        <v>270</v>
      </c>
      <c r="F155" s="254"/>
      <c r="G155" s="47"/>
      <c r="H155" s="44"/>
      <c r="I155" s="44"/>
      <c r="J155" s="105"/>
    </row>
    <row r="156" spans="1:10" ht="12.75" customHeight="1">
      <c r="A156" s="190"/>
      <c r="B156" s="241" t="s">
        <v>375</v>
      </c>
      <c r="C156" s="242" t="s">
        <v>194</v>
      </c>
      <c r="D156" s="243"/>
      <c r="E156" s="244">
        <v>1000</v>
      </c>
      <c r="F156" s="254"/>
      <c r="G156" s="47"/>
      <c r="H156" s="44"/>
      <c r="I156" s="44"/>
      <c r="J156" s="105"/>
    </row>
    <row r="157" spans="1:10" ht="12.75" customHeight="1">
      <c r="A157" s="190"/>
      <c r="B157" s="241" t="s">
        <v>375</v>
      </c>
      <c r="C157" s="242" t="s">
        <v>376</v>
      </c>
      <c r="D157" s="243"/>
      <c r="E157" s="244">
        <v>270</v>
      </c>
      <c r="F157" s="254"/>
      <c r="G157" s="47"/>
      <c r="H157" s="44"/>
      <c r="I157" s="44"/>
      <c r="J157" s="105"/>
    </row>
    <row r="158" spans="1:10" ht="12.75" customHeight="1">
      <c r="A158" s="190"/>
      <c r="B158" s="241" t="s">
        <v>356</v>
      </c>
      <c r="C158" s="242" t="s">
        <v>377</v>
      </c>
      <c r="D158" s="243"/>
      <c r="E158" s="244">
        <v>1000</v>
      </c>
      <c r="F158" s="254"/>
      <c r="G158" s="47"/>
      <c r="H158" s="44"/>
      <c r="I158" s="44"/>
      <c r="J158" s="105"/>
    </row>
    <row r="159" spans="1:10" ht="12.75" customHeight="1">
      <c r="A159" s="190"/>
      <c r="B159" s="241" t="s">
        <v>378</v>
      </c>
      <c r="C159" s="242" t="s">
        <v>379</v>
      </c>
      <c r="D159" s="243"/>
      <c r="E159" s="244">
        <v>10000</v>
      </c>
      <c r="F159" s="254"/>
      <c r="G159" s="47"/>
      <c r="H159" s="44"/>
      <c r="I159" s="44"/>
      <c r="J159" s="105"/>
    </row>
    <row r="160" spans="1:10" ht="12.75" customHeight="1">
      <c r="A160" s="190"/>
      <c r="B160" s="241" t="s">
        <v>380</v>
      </c>
      <c r="C160" s="242" t="s">
        <v>381</v>
      </c>
      <c r="D160" s="243"/>
      <c r="E160" s="244">
        <v>1000</v>
      </c>
      <c r="F160" s="254"/>
      <c r="G160" s="47"/>
      <c r="J160" s="263"/>
    </row>
    <row r="161" spans="1:10" ht="12.75" customHeight="1">
      <c r="A161" s="190">
        <v>74</v>
      </c>
      <c r="B161" s="241" t="s">
        <v>382</v>
      </c>
      <c r="C161" s="242" t="s">
        <v>383</v>
      </c>
      <c r="D161" s="243"/>
      <c r="E161" s="244"/>
      <c r="F161" s="254">
        <v>13030</v>
      </c>
      <c r="G161" s="47"/>
      <c r="J161" s="263"/>
    </row>
    <row r="162" spans="1:10" ht="12.75" customHeight="1">
      <c r="A162" s="190">
        <v>75</v>
      </c>
      <c r="B162" s="241" t="s">
        <v>382</v>
      </c>
      <c r="C162" s="242" t="s">
        <v>384</v>
      </c>
      <c r="D162" s="243"/>
      <c r="E162" s="244"/>
      <c r="F162" s="254">
        <v>2640</v>
      </c>
      <c r="G162" s="47"/>
      <c r="J162" s="263"/>
    </row>
    <row r="163" spans="1:10" ht="12.75" customHeight="1">
      <c r="A163" s="190">
        <v>76</v>
      </c>
      <c r="B163" s="241" t="s">
        <v>385</v>
      </c>
      <c r="C163" s="242" t="s">
        <v>386</v>
      </c>
      <c r="D163" s="243"/>
      <c r="E163" s="244"/>
      <c r="F163" s="254">
        <v>1500</v>
      </c>
      <c r="G163" s="47"/>
      <c r="J163" s="263"/>
    </row>
    <row r="164" spans="1:10" ht="12.75" customHeight="1">
      <c r="A164" s="190"/>
      <c r="B164" s="241" t="s">
        <v>385</v>
      </c>
      <c r="C164" s="242" t="s">
        <v>387</v>
      </c>
      <c r="D164" s="243"/>
      <c r="E164" s="244"/>
      <c r="F164" s="254">
        <v>2000</v>
      </c>
      <c r="G164" s="47"/>
      <c r="J164" s="263"/>
    </row>
    <row r="165" spans="1:10" ht="12.75" customHeight="1">
      <c r="A165" s="190">
        <v>77</v>
      </c>
      <c r="B165" s="241" t="s">
        <v>388</v>
      </c>
      <c r="C165" s="242" t="s">
        <v>389</v>
      </c>
      <c r="D165" s="243"/>
      <c r="E165" s="244"/>
      <c r="F165" s="254">
        <v>6415</v>
      </c>
      <c r="G165" s="47"/>
      <c r="J165" s="263"/>
    </row>
    <row r="166" spans="1:10" ht="12.75" customHeight="1">
      <c r="A166" s="190">
        <v>78</v>
      </c>
      <c r="B166" s="241" t="s">
        <v>390</v>
      </c>
      <c r="C166" s="242" t="s">
        <v>391</v>
      </c>
      <c r="D166" s="243"/>
      <c r="E166" s="244"/>
      <c r="F166" s="254">
        <v>3000</v>
      </c>
      <c r="G166" s="47"/>
      <c r="J166" s="263"/>
    </row>
    <row r="167" spans="1:10" ht="12.75" customHeight="1">
      <c r="A167" s="190">
        <v>79</v>
      </c>
      <c r="B167" s="241" t="s">
        <v>392</v>
      </c>
      <c r="C167" s="242" t="s">
        <v>68</v>
      </c>
      <c r="D167" s="243"/>
      <c r="E167" s="244"/>
      <c r="F167" s="254">
        <v>143.75</v>
      </c>
      <c r="G167" s="47"/>
      <c r="J167" s="263"/>
    </row>
    <row r="168" spans="1:10" ht="12.75" customHeight="1">
      <c r="A168" s="190"/>
      <c r="B168" s="241" t="s">
        <v>382</v>
      </c>
      <c r="C168" s="242" t="s">
        <v>393</v>
      </c>
      <c r="D168" s="243"/>
      <c r="E168" s="244">
        <v>500</v>
      </c>
      <c r="F168" s="254"/>
      <c r="G168" s="47"/>
      <c r="J168" s="263"/>
    </row>
    <row r="169" spans="1:10" ht="12.75" customHeight="1">
      <c r="A169" s="190"/>
      <c r="B169" s="241" t="s">
        <v>394</v>
      </c>
      <c r="C169" s="242" t="s">
        <v>395</v>
      </c>
      <c r="D169" s="243"/>
      <c r="E169" s="244">
        <v>270</v>
      </c>
      <c r="F169" s="254"/>
      <c r="G169" s="47"/>
      <c r="J169" s="263"/>
    </row>
    <row r="170" spans="1:10" ht="12.75" customHeight="1">
      <c r="A170" s="190"/>
      <c r="B170" s="241" t="s">
        <v>385</v>
      </c>
      <c r="C170" s="242" t="s">
        <v>400</v>
      </c>
      <c r="D170" s="243"/>
      <c r="E170" s="244">
        <v>214.5</v>
      </c>
      <c r="F170" s="254"/>
      <c r="G170" s="47"/>
      <c r="J170" s="263"/>
    </row>
    <row r="171" spans="1:10" ht="12.75" customHeight="1">
      <c r="A171" s="190"/>
      <c r="B171" s="241" t="s">
        <v>385</v>
      </c>
      <c r="C171" s="242" t="s">
        <v>396</v>
      </c>
      <c r="D171" s="243"/>
      <c r="E171" s="244">
        <v>6350</v>
      </c>
      <c r="F171" s="254"/>
      <c r="G171" s="47"/>
      <c r="J171" s="263"/>
    </row>
    <row r="172" spans="1:10" ht="12.75" customHeight="1">
      <c r="A172" s="190"/>
      <c r="B172" s="241" t="s">
        <v>385</v>
      </c>
      <c r="C172" s="242" t="s">
        <v>397</v>
      </c>
      <c r="D172" s="243"/>
      <c r="E172" s="244">
        <v>4000</v>
      </c>
      <c r="F172" s="254"/>
      <c r="G172" s="47"/>
      <c r="J172" s="263"/>
    </row>
    <row r="173" spans="1:10" ht="12.75" customHeight="1">
      <c r="A173" s="190"/>
      <c r="B173" s="241" t="s">
        <v>398</v>
      </c>
      <c r="C173" s="242" t="s">
        <v>399</v>
      </c>
      <c r="D173" s="243"/>
      <c r="E173" s="244">
        <v>10988</v>
      </c>
      <c r="F173" s="254"/>
      <c r="G173" s="47"/>
      <c r="J173" s="263"/>
    </row>
    <row r="174" spans="1:10" ht="12.75" customHeight="1">
      <c r="A174" s="190"/>
      <c r="B174" s="271" t="s">
        <v>408</v>
      </c>
      <c r="C174" s="272" t="s">
        <v>401</v>
      </c>
      <c r="D174" s="273"/>
      <c r="E174" s="274">
        <v>3000</v>
      </c>
      <c r="F174" s="254"/>
      <c r="G174" s="47"/>
      <c r="J174" s="263"/>
    </row>
    <row r="175" spans="1:10" ht="12.75" customHeight="1">
      <c r="A175" s="190"/>
      <c r="B175" s="241" t="s">
        <v>410</v>
      </c>
      <c r="C175" s="242" t="s">
        <v>18</v>
      </c>
      <c r="D175" s="243"/>
      <c r="E175" s="244">
        <v>61.17</v>
      </c>
      <c r="F175" s="254"/>
      <c r="G175" s="47"/>
      <c r="J175" s="263"/>
    </row>
    <row r="176" spans="1:7" ht="12.75" customHeight="1">
      <c r="A176" s="190"/>
      <c r="B176" s="241"/>
      <c r="C176" s="242"/>
      <c r="D176" s="243"/>
      <c r="E176" s="244"/>
      <c r="F176" s="254"/>
      <c r="G176" s="47"/>
    </row>
    <row r="177" spans="1:7" ht="17.25" customHeight="1" thickBot="1">
      <c r="A177" s="10"/>
      <c r="B177" s="10"/>
      <c r="C177" s="54"/>
      <c r="D177" s="38"/>
      <c r="E177" s="60">
        <f>SUM(E4:E176)</f>
        <v>356001.06</v>
      </c>
      <c r="F177" s="255">
        <f>SUM(F4:F176)</f>
        <v>314278.38</v>
      </c>
      <c r="G177" s="252" t="s">
        <v>6</v>
      </c>
    </row>
    <row r="178" spans="1:8" ht="15" customHeight="1">
      <c r="A178" s="71"/>
      <c r="B178" s="133"/>
      <c r="C178" s="62"/>
      <c r="D178" s="111" t="s">
        <v>409</v>
      </c>
      <c r="E178" s="63"/>
      <c r="F178" s="64">
        <f>SUM(E177-F177)</f>
        <v>41722.67999999999</v>
      </c>
      <c r="G178" s="99">
        <v>41722.68</v>
      </c>
      <c r="H178" s="123" t="s">
        <v>341</v>
      </c>
    </row>
    <row r="179" spans="1:8" ht="15.75" customHeight="1" thickBot="1">
      <c r="A179" s="67"/>
      <c r="B179" s="67"/>
      <c r="C179" s="110" t="s">
        <v>82</v>
      </c>
      <c r="D179" s="68">
        <f>E4+E5</f>
        <v>61479.68</v>
      </c>
      <c r="E179" s="69" t="s">
        <v>4</v>
      </c>
      <c r="F179" s="70">
        <f>SUM(F178-D179)</f>
        <v>-19757.000000000007</v>
      </c>
      <c r="G179" s="100">
        <f>F178</f>
        <v>41722.67999999999</v>
      </c>
      <c r="H179" s="123" t="s">
        <v>342</v>
      </c>
    </row>
    <row r="180" spans="1:10" ht="12.75">
      <c r="A180" s="3"/>
      <c r="B180" s="3"/>
      <c r="C180" s="107"/>
      <c r="D180" s="114"/>
      <c r="E180" s="61"/>
      <c r="F180" s="265" t="s">
        <v>402</v>
      </c>
      <c r="G180" s="266">
        <f>F178-G178</f>
        <v>0</v>
      </c>
      <c r="H180" s="102" t="s">
        <v>403</v>
      </c>
      <c r="I180" s="102"/>
      <c r="J180" s="102"/>
    </row>
    <row r="181" spans="2:7" ht="12.75">
      <c r="B181" s="173" t="s">
        <v>78</v>
      </c>
      <c r="C181" s="174">
        <f ca="1">TODAY()</f>
        <v>42743</v>
      </c>
      <c r="D181" s="61"/>
      <c r="E181" s="250"/>
      <c r="F181" s="66"/>
      <c r="G181" s="102"/>
    </row>
    <row r="182" spans="4:7" ht="12.75">
      <c r="D182"/>
      <c r="E182" s="256"/>
      <c r="F182" s="251"/>
      <c r="G182" s="103"/>
    </row>
    <row r="183" spans="3:7" ht="12.75">
      <c r="C183" s="46"/>
      <c r="D183"/>
      <c r="E183"/>
      <c r="F183"/>
      <c r="G183" s="103"/>
    </row>
    <row r="184" spans="3:7" ht="12.75">
      <c r="C184" s="13" t="s">
        <v>8</v>
      </c>
      <c r="D184"/>
      <c r="E184"/>
      <c r="F184"/>
      <c r="G184"/>
    </row>
    <row r="185" spans="3:7" ht="12.75">
      <c r="C185" s="45" t="s">
        <v>10</v>
      </c>
      <c r="D185"/>
      <c r="E185"/>
      <c r="F185"/>
      <c r="G185"/>
    </row>
    <row r="186" ht="12.75">
      <c r="C186" s="45"/>
    </row>
    <row r="187" ht="12.75">
      <c r="C187" s="45"/>
    </row>
    <row r="188" ht="12.75">
      <c r="C188" s="45"/>
    </row>
  </sheetData>
  <sheetProtection/>
  <printOptions/>
  <pageMargins left="0.35433070866141736" right="0" top="0.5118110236220472" bottom="0.1968503937007874" header="0.31496062992125984" footer="0"/>
  <pageSetup fitToHeight="0" orientation="portrait" paperSize="9" r:id="rId1"/>
  <headerFooter alignWithMargins="0">
    <oddHeader>&amp;C&amp;A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zoomScale="79" zoomScaleNormal="79" zoomScalePageLayoutView="0" workbookViewId="0" topLeftCell="A1">
      <selection activeCell="A8" sqref="A8"/>
    </sheetView>
  </sheetViews>
  <sheetFormatPr defaultColWidth="9.140625" defaultRowHeight="12.75"/>
  <cols>
    <col min="1" max="1" width="49.7109375" style="2" customWidth="1"/>
    <col min="2" max="2" width="9.00390625" style="4" customWidth="1"/>
    <col min="3" max="3" width="46.7109375" style="5" customWidth="1"/>
    <col min="4" max="7" width="10.7109375" style="6" customWidth="1"/>
    <col min="8" max="16384" width="9.140625" style="2" customWidth="1"/>
  </cols>
  <sheetData>
    <row r="1" spans="2:12" ht="30" customHeight="1">
      <c r="B1" s="55" t="s">
        <v>411</v>
      </c>
      <c r="C1" s="14"/>
      <c r="D1" s="14"/>
      <c r="E1" s="14"/>
      <c r="F1" s="14"/>
      <c r="G1" s="14"/>
      <c r="H1" s="15"/>
      <c r="I1" s="15"/>
      <c r="J1" s="15"/>
      <c r="K1" s="15"/>
      <c r="L1" s="15"/>
    </row>
    <row r="2" spans="1:12" ht="30" customHeight="1">
      <c r="A2" s="26"/>
      <c r="B2" s="14"/>
      <c r="C2" s="14"/>
      <c r="D2" s="14"/>
      <c r="E2" s="14"/>
      <c r="F2" s="14"/>
      <c r="G2" s="14"/>
      <c r="H2" s="15"/>
      <c r="I2" s="15"/>
      <c r="J2" s="15"/>
      <c r="K2" s="15"/>
      <c r="L2" s="15"/>
    </row>
    <row r="3" spans="1:12" ht="21.75" customHeight="1">
      <c r="A3" s="108" t="s">
        <v>412</v>
      </c>
      <c r="B3" s="16"/>
      <c r="C3" s="37" t="s">
        <v>87</v>
      </c>
      <c r="D3" s="17"/>
      <c r="E3" s="146"/>
      <c r="F3" s="146"/>
      <c r="G3" s="146"/>
      <c r="H3" s="15"/>
      <c r="I3" s="15"/>
      <c r="J3" s="15"/>
      <c r="K3" s="15"/>
      <c r="L3" s="15"/>
    </row>
    <row r="4" spans="1:12" ht="12.75" customHeight="1">
      <c r="A4" s="19"/>
      <c r="B4" s="18"/>
      <c r="C4" s="19"/>
      <c r="D4" s="20"/>
      <c r="E4" s="147"/>
      <c r="F4" s="147"/>
      <c r="G4" s="147"/>
      <c r="H4" s="15"/>
      <c r="I4" s="15"/>
      <c r="J4" s="15"/>
      <c r="K4" s="15"/>
      <c r="L4" s="15"/>
    </row>
    <row r="5" spans="1:12" ht="20.25" customHeight="1">
      <c r="A5" s="27"/>
      <c r="B5" s="30"/>
      <c r="C5" s="27"/>
      <c r="D5" s="28"/>
      <c r="E5" s="30"/>
      <c r="F5" s="30"/>
      <c r="G5" s="30"/>
      <c r="H5" s="15"/>
      <c r="I5" s="15"/>
      <c r="J5" s="15"/>
      <c r="K5" s="15"/>
      <c r="L5" s="15"/>
    </row>
    <row r="6" spans="1:13" ht="16.5" customHeight="1">
      <c r="A6" s="31" t="s">
        <v>413</v>
      </c>
      <c r="B6" s="30">
        <v>41722.68</v>
      </c>
      <c r="C6" s="31" t="s">
        <v>84</v>
      </c>
      <c r="D6" s="29">
        <v>60869.78</v>
      </c>
      <c r="E6" s="30"/>
      <c r="F6" s="30"/>
      <c r="G6" s="30"/>
      <c r="H6" s="15"/>
      <c r="I6" s="15"/>
      <c r="J6" s="15"/>
      <c r="K6" s="15"/>
      <c r="L6" s="15"/>
      <c r="M6" s="29"/>
    </row>
    <row r="7" spans="1:13" ht="16.5" customHeight="1">
      <c r="A7" s="31" t="s">
        <v>414</v>
      </c>
      <c r="B7" s="30">
        <v>6.68</v>
      </c>
      <c r="C7" s="31" t="s">
        <v>86</v>
      </c>
      <c r="D7" s="257">
        <v>609.9</v>
      </c>
      <c r="E7" s="30"/>
      <c r="F7" s="30"/>
      <c r="G7" s="30"/>
      <c r="H7" s="15"/>
      <c r="I7" s="15"/>
      <c r="J7" s="15"/>
      <c r="K7" s="15"/>
      <c r="L7" s="15"/>
      <c r="M7" s="29"/>
    </row>
    <row r="8" spans="1:13" ht="16.5" customHeight="1">
      <c r="A8" s="31" t="s">
        <v>235</v>
      </c>
      <c r="B8" s="30">
        <v>3050</v>
      </c>
      <c r="C8" s="31" t="s">
        <v>236</v>
      </c>
      <c r="D8" s="29"/>
      <c r="E8" s="30"/>
      <c r="F8" s="30"/>
      <c r="G8" s="30"/>
      <c r="H8" s="15"/>
      <c r="I8" s="15"/>
      <c r="J8" s="15"/>
      <c r="K8" s="15"/>
      <c r="L8" s="15"/>
      <c r="M8" s="30"/>
    </row>
    <row r="9" spans="1:13" ht="16.5" customHeight="1">
      <c r="A9" s="31" t="s">
        <v>237</v>
      </c>
      <c r="B9" s="30">
        <v>2170</v>
      </c>
      <c r="C9" s="31" t="s">
        <v>80</v>
      </c>
      <c r="D9" s="29">
        <v>2150</v>
      </c>
      <c r="E9" s="30"/>
      <c r="G9" s="30"/>
      <c r="H9" s="15"/>
      <c r="I9" s="15"/>
      <c r="J9" s="15"/>
      <c r="K9" s="15"/>
      <c r="L9" s="15"/>
      <c r="M9" s="30"/>
    </row>
    <row r="10" spans="1:13" ht="16.5" customHeight="1">
      <c r="A10" s="31"/>
      <c r="B10" s="30"/>
      <c r="C10" s="31"/>
      <c r="D10" s="29"/>
      <c r="E10" s="30"/>
      <c r="F10" s="30"/>
      <c r="G10" s="30"/>
      <c r="H10" s="15"/>
      <c r="I10" s="15"/>
      <c r="J10" s="15"/>
      <c r="K10" s="15"/>
      <c r="L10" s="15"/>
      <c r="M10" s="30"/>
    </row>
    <row r="11" spans="1:13" ht="16.5" customHeight="1">
      <c r="A11" s="166" t="s">
        <v>60</v>
      </c>
      <c r="B11" s="30"/>
      <c r="C11" s="48"/>
      <c r="D11" s="29">
        <v>0</v>
      </c>
      <c r="E11" s="30"/>
      <c r="F11" s="30"/>
      <c r="G11" s="30"/>
      <c r="H11" s="15"/>
      <c r="I11" s="15"/>
      <c r="J11" s="15"/>
      <c r="K11" s="15"/>
      <c r="L11" s="15"/>
      <c r="M11" s="30"/>
    </row>
    <row r="12" spans="1:13" ht="16.5" customHeight="1">
      <c r="A12" s="31"/>
      <c r="B12" s="30"/>
      <c r="C12" s="31"/>
      <c r="D12" s="29"/>
      <c r="E12" s="30"/>
      <c r="F12" s="30"/>
      <c r="G12" s="30"/>
      <c r="H12" s="15"/>
      <c r="I12" s="30"/>
      <c r="J12" s="15"/>
      <c r="K12" s="15"/>
      <c r="L12" s="15"/>
      <c r="M12" s="30"/>
    </row>
    <row r="13" spans="1:13" ht="16.5" customHeight="1">
      <c r="A13" s="31"/>
      <c r="B13" s="30"/>
      <c r="C13" s="31"/>
      <c r="D13" s="29"/>
      <c r="E13" s="30"/>
      <c r="F13" s="30"/>
      <c r="G13" s="30"/>
      <c r="H13" s="15"/>
      <c r="I13" s="30"/>
      <c r="J13" s="15"/>
      <c r="K13" s="15"/>
      <c r="L13" s="15"/>
      <c r="M13" s="30"/>
    </row>
    <row r="14" spans="1:12" ht="15.75" customHeight="1">
      <c r="A14" s="166" t="s">
        <v>59</v>
      </c>
      <c r="B14" s="30"/>
      <c r="C14" s="48"/>
      <c r="D14" s="53"/>
      <c r="E14" s="148"/>
      <c r="F14" s="148"/>
      <c r="G14" s="30"/>
      <c r="H14" s="15"/>
      <c r="I14" s="30"/>
      <c r="J14" s="15"/>
      <c r="K14" s="15"/>
      <c r="L14" s="15"/>
    </row>
    <row r="15" spans="1:12" ht="15.75" customHeight="1">
      <c r="A15" s="31" t="s">
        <v>404</v>
      </c>
      <c r="B15" s="30">
        <v>-4900</v>
      </c>
      <c r="C15" s="31" t="s">
        <v>85</v>
      </c>
      <c r="D15" s="49">
        <f>SUM(D5:D14)</f>
        <v>63629.68</v>
      </c>
      <c r="E15" s="149"/>
      <c r="F15" s="149"/>
      <c r="G15" s="30"/>
      <c r="H15" s="15"/>
      <c r="I15" s="30"/>
      <c r="J15" s="15"/>
      <c r="K15" s="15"/>
      <c r="L15" s="15"/>
    </row>
    <row r="16" spans="1:12" ht="15.75" customHeight="1">
      <c r="A16" s="31" t="s">
        <v>405</v>
      </c>
      <c r="B16" s="30">
        <v>-600</v>
      </c>
      <c r="C16" s="48"/>
      <c r="D16" s="53"/>
      <c r="E16" s="148"/>
      <c r="F16" s="148"/>
      <c r="G16" s="30"/>
      <c r="H16" s="15"/>
      <c r="I16" s="30"/>
      <c r="J16" s="15"/>
      <c r="K16" s="15"/>
      <c r="L16" s="15"/>
    </row>
    <row r="17" spans="1:12" ht="15.75" customHeight="1">
      <c r="A17" s="31"/>
      <c r="B17" s="30"/>
      <c r="C17" s="48"/>
      <c r="D17" s="53"/>
      <c r="E17" s="148"/>
      <c r="F17" s="148"/>
      <c r="G17" s="30"/>
      <c r="H17" s="15"/>
      <c r="I17" s="172"/>
      <c r="J17" s="15"/>
      <c r="K17" s="15"/>
      <c r="L17" s="15"/>
    </row>
    <row r="18" spans="1:12" ht="33" customHeight="1">
      <c r="A18" s="22"/>
      <c r="B18" s="30"/>
      <c r="C18" s="51" t="s">
        <v>335</v>
      </c>
      <c r="D18" s="52">
        <f>B19-D15</f>
        <v>-22180.32</v>
      </c>
      <c r="E18" s="149"/>
      <c r="F18" s="149"/>
      <c r="G18" s="149"/>
      <c r="H18" s="15"/>
      <c r="I18" s="15"/>
      <c r="J18" s="15"/>
      <c r="K18" s="15"/>
      <c r="L18" s="15"/>
    </row>
    <row r="19" spans="1:15" ht="16.5" customHeight="1">
      <c r="A19" s="23" t="s">
        <v>3</v>
      </c>
      <c r="B19" s="50">
        <f>SUM(B5:B18)</f>
        <v>41449.36</v>
      </c>
      <c r="C19" s="19" t="s">
        <v>3</v>
      </c>
      <c r="D19" s="72">
        <f>D15+D18</f>
        <v>41449.36</v>
      </c>
      <c r="E19" s="149"/>
      <c r="F19" s="149"/>
      <c r="G19" s="149"/>
      <c r="H19" s="172"/>
      <c r="I19" s="15"/>
      <c r="J19" s="15"/>
      <c r="K19" s="15"/>
      <c r="L19" s="15"/>
      <c r="M19" s="40"/>
      <c r="O19" s="8"/>
    </row>
    <row r="20" spans="1:12" ht="16.5" customHeight="1">
      <c r="A20" s="21"/>
      <c r="B20" s="30"/>
      <c r="C20" s="157"/>
      <c r="D20" s="158"/>
      <c r="E20" s="30"/>
      <c r="F20" s="30"/>
      <c r="G20" s="30"/>
      <c r="H20" s="15"/>
      <c r="I20" s="15"/>
      <c r="J20" s="15"/>
      <c r="K20" s="15"/>
      <c r="L20" s="15"/>
    </row>
    <row r="21" spans="1:12" ht="16.5" customHeight="1">
      <c r="A21" s="21"/>
      <c r="B21" s="30"/>
      <c r="E21" s="30"/>
      <c r="F21" s="30"/>
      <c r="G21" s="30"/>
      <c r="H21" s="15"/>
      <c r="I21" s="15"/>
      <c r="J21" s="15"/>
      <c r="K21" s="15"/>
      <c r="L21" s="15"/>
    </row>
    <row r="22" spans="1:12" ht="12.75" customHeight="1">
      <c r="A22" s="21"/>
      <c r="B22" s="147" t="s">
        <v>58</v>
      </c>
      <c r="C22" s="21"/>
      <c r="D22" s="21"/>
      <c r="E22" s="14"/>
      <c r="F22" s="14"/>
      <c r="G22" s="14"/>
      <c r="H22" s="15"/>
      <c r="I22" s="15"/>
      <c r="J22" s="15"/>
      <c r="K22" s="15"/>
      <c r="L22" s="15"/>
    </row>
    <row r="23" spans="1:12" ht="15">
      <c r="A23" s="1"/>
      <c r="B23" s="129" t="s">
        <v>46</v>
      </c>
      <c r="C23" s="159"/>
      <c r="D23" s="160"/>
      <c r="E23" s="25"/>
      <c r="F23" s="25"/>
      <c r="G23" s="25"/>
      <c r="H23" s="15"/>
      <c r="I23" s="15"/>
      <c r="J23" s="15"/>
      <c r="K23" s="15"/>
      <c r="L23" s="15"/>
    </row>
    <row r="24" spans="2:12" ht="15">
      <c r="B24" s="112" t="s">
        <v>47</v>
      </c>
      <c r="C24" s="24"/>
      <c r="D24" s="136"/>
      <c r="E24" s="136"/>
      <c r="F24" s="136"/>
      <c r="G24" s="136"/>
      <c r="H24" s="15"/>
      <c r="I24" s="15"/>
      <c r="J24" s="15"/>
      <c r="K24" s="15"/>
      <c r="L24" s="15"/>
    </row>
    <row r="25" spans="2:12" ht="15">
      <c r="B25" s="112" t="s">
        <v>11</v>
      </c>
      <c r="C25" s="24"/>
      <c r="D25" s="136"/>
      <c r="E25" s="136"/>
      <c r="F25" s="136"/>
      <c r="G25" s="136"/>
      <c r="H25" s="15"/>
      <c r="I25" s="15"/>
      <c r="J25" s="15"/>
      <c r="K25" s="15"/>
      <c r="L25" s="15"/>
    </row>
    <row r="26" spans="2:12" ht="15">
      <c r="B26" s="13"/>
      <c r="C26" s="24"/>
      <c r="D26" s="25"/>
      <c r="E26" s="25"/>
      <c r="F26" s="25"/>
      <c r="G26" s="25"/>
      <c r="H26" s="15"/>
      <c r="I26" s="15"/>
      <c r="J26" s="15"/>
      <c r="K26" s="15"/>
      <c r="L26" s="15"/>
    </row>
    <row r="27" spans="3:12" ht="15">
      <c r="C27" s="15"/>
      <c r="D27" s="25"/>
      <c r="E27" s="25"/>
      <c r="F27" s="25"/>
      <c r="G27" s="25"/>
      <c r="H27" s="15"/>
      <c r="I27" s="15"/>
      <c r="J27" s="15"/>
      <c r="K27" s="15"/>
      <c r="L27" s="15"/>
    </row>
    <row r="28" spans="3:12" ht="15">
      <c r="C28" s="24"/>
      <c r="D28" s="25"/>
      <c r="E28" s="25"/>
      <c r="F28" s="25"/>
      <c r="G28" s="25"/>
      <c r="H28" s="15"/>
      <c r="I28" s="15"/>
      <c r="J28" s="15"/>
      <c r="K28" s="15"/>
      <c r="L28" s="15"/>
    </row>
    <row r="29" spans="3:12" ht="12" customHeight="1">
      <c r="C29" s="24"/>
      <c r="D29" s="25"/>
      <c r="E29" s="25"/>
      <c r="F29" s="25"/>
      <c r="G29" s="25"/>
      <c r="H29" s="15"/>
      <c r="I29" s="15"/>
      <c r="J29" s="15"/>
      <c r="K29" s="15"/>
      <c r="L29" s="15"/>
    </row>
    <row r="30" spans="1:12" ht="15">
      <c r="A30" s="112" t="s">
        <v>329</v>
      </c>
      <c r="C30" s="24"/>
      <c r="D30" s="25"/>
      <c r="E30" s="25"/>
      <c r="F30" s="25"/>
      <c r="G30" s="25"/>
      <c r="H30" s="15"/>
      <c r="I30" s="15"/>
      <c r="J30" s="15"/>
      <c r="K30" s="15"/>
      <c r="L30" s="15"/>
    </row>
    <row r="31" spans="1:12" ht="24.75" customHeight="1">
      <c r="A31" s="130" t="s">
        <v>48</v>
      </c>
      <c r="B31" s="13"/>
      <c r="C31" s="24"/>
      <c r="D31" s="25"/>
      <c r="E31" s="25"/>
      <c r="F31" s="25"/>
      <c r="G31" s="25"/>
      <c r="H31" s="15"/>
      <c r="I31" s="15"/>
      <c r="J31" s="15"/>
      <c r="K31" s="15"/>
      <c r="L31" s="15"/>
    </row>
    <row r="32" spans="1:12" ht="15">
      <c r="A32" s="101" t="s">
        <v>8</v>
      </c>
      <c r="B32" s="13"/>
      <c r="C32" s="24"/>
      <c r="D32" s="25"/>
      <c r="E32" s="25"/>
      <c r="F32" s="25"/>
      <c r="G32" s="25"/>
      <c r="H32" s="15"/>
      <c r="I32" s="15"/>
      <c r="J32" s="15"/>
      <c r="K32" s="15"/>
      <c r="L32" s="15"/>
    </row>
    <row r="33" spans="1:12" ht="15">
      <c r="A33" s="13" t="s">
        <v>10</v>
      </c>
      <c r="B33" s="13"/>
      <c r="C33" s="24"/>
      <c r="D33" s="25"/>
      <c r="E33" s="25"/>
      <c r="F33" s="25"/>
      <c r="G33" s="25"/>
      <c r="H33" s="15"/>
      <c r="I33" s="15"/>
      <c r="J33" s="15"/>
      <c r="K33" s="15"/>
      <c r="L33" s="15"/>
    </row>
    <row r="34" spans="1:12" ht="15">
      <c r="A34" s="13" t="s">
        <v>11</v>
      </c>
      <c r="B34" s="13"/>
      <c r="C34" s="24"/>
      <c r="D34" s="25"/>
      <c r="E34" s="25"/>
      <c r="F34" s="25"/>
      <c r="G34" s="25"/>
      <c r="H34" s="15"/>
      <c r="I34" s="15"/>
      <c r="J34" s="15"/>
      <c r="K34" s="15"/>
      <c r="L34" s="15"/>
    </row>
    <row r="35" spans="2:12" ht="18" customHeight="1">
      <c r="B35" s="13"/>
      <c r="C35" s="24"/>
      <c r="D35" s="25"/>
      <c r="E35" s="25"/>
      <c r="F35" s="25"/>
      <c r="G35" s="25"/>
      <c r="H35" s="15"/>
      <c r="I35" s="15"/>
      <c r="J35" s="15"/>
      <c r="K35" s="15"/>
      <c r="L35" s="15"/>
    </row>
    <row r="36" spans="2:12" ht="12.75" customHeight="1">
      <c r="B36" s="13"/>
      <c r="C36" s="24"/>
      <c r="D36" s="25"/>
      <c r="E36" s="25"/>
      <c r="F36" s="25"/>
      <c r="G36" s="25"/>
      <c r="H36" s="15"/>
      <c r="I36" s="15"/>
      <c r="J36" s="15"/>
      <c r="K36" s="15"/>
      <c r="L36" s="15"/>
    </row>
    <row r="37" spans="2:12" ht="12" customHeight="1">
      <c r="B37" s="13"/>
      <c r="C37" s="24"/>
      <c r="D37" s="25"/>
      <c r="E37" s="25"/>
      <c r="F37" s="25"/>
      <c r="G37" s="25"/>
      <c r="H37" s="15"/>
      <c r="I37" s="15"/>
      <c r="J37" s="15"/>
      <c r="K37" s="15"/>
      <c r="L37" s="15"/>
    </row>
  </sheetData>
  <sheetProtection/>
  <printOptions/>
  <pageMargins left="0.5511811023622047" right="0" top="1.6929133858267718" bottom="0.5118110236220472" header="0.5118110236220472" footer="0.31496062992125984"/>
  <pageSetup fitToHeight="0" fitToWidth="1" orientation="portrait" paperSize="9" scale="83" r:id="rId1"/>
  <headerFooter alignWithMargins="0"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7"/>
  <sheetViews>
    <sheetView tabSelected="1" zoomScale="79" zoomScaleNormal="79" zoomScalePageLayoutView="0" workbookViewId="0" topLeftCell="A1">
      <selection activeCell="D41" sqref="D41"/>
    </sheetView>
  </sheetViews>
  <sheetFormatPr defaultColWidth="9.140625" defaultRowHeight="12.75"/>
  <cols>
    <col min="1" max="1" width="31.421875" style="2" customWidth="1"/>
    <col min="2" max="2" width="11.140625" style="4" customWidth="1"/>
    <col min="3" max="3" width="12.140625" style="6" customWidth="1"/>
    <col min="4" max="4" width="11.421875" style="2" customWidth="1"/>
    <col min="5" max="5" width="10.421875" style="2" customWidth="1"/>
    <col min="6" max="6" width="11.421875" style="2" customWidth="1"/>
    <col min="7" max="10" width="12.00390625" style="2" customWidth="1"/>
    <col min="11" max="11" width="11.7109375" style="2" customWidth="1"/>
    <col min="12" max="12" width="11.00390625" style="2" customWidth="1"/>
    <col min="13" max="13" width="10.421875" style="2" customWidth="1"/>
    <col min="14" max="14" width="8.28125" style="2" customWidth="1"/>
    <col min="15" max="15" width="8.00390625" style="2" customWidth="1"/>
    <col min="16" max="16384" width="9.140625" style="2" customWidth="1"/>
  </cols>
  <sheetData>
    <row r="1" spans="1:12" ht="18" customHeight="1" thickBot="1">
      <c r="A1" s="26" t="s">
        <v>12</v>
      </c>
      <c r="B1" s="26" t="s">
        <v>83</v>
      </c>
      <c r="C1" s="26"/>
      <c r="D1" s="73"/>
      <c r="E1" s="73"/>
      <c r="F1" s="73"/>
      <c r="G1" s="73"/>
      <c r="H1" s="73"/>
      <c r="I1" s="73"/>
      <c r="J1" s="73"/>
      <c r="K1" s="73"/>
      <c r="L1" s="74"/>
    </row>
    <row r="2" spans="1:13" ht="26.25" customHeight="1" thickTop="1">
      <c r="A2" s="75"/>
      <c r="B2" s="76" t="s">
        <v>13</v>
      </c>
      <c r="C2" s="168" t="s">
        <v>122</v>
      </c>
      <c r="D2" s="162" t="s">
        <v>124</v>
      </c>
      <c r="E2" s="162" t="s">
        <v>126</v>
      </c>
      <c r="F2" s="162" t="s">
        <v>129</v>
      </c>
      <c r="G2" s="162" t="s">
        <v>215</v>
      </c>
      <c r="H2" s="162" t="s">
        <v>234</v>
      </c>
      <c r="I2" s="162" t="s">
        <v>211</v>
      </c>
      <c r="J2" s="162" t="s">
        <v>215</v>
      </c>
      <c r="K2" s="162" t="s">
        <v>255</v>
      </c>
      <c r="L2" s="77">
        <v>2016</v>
      </c>
      <c r="M2" s="77">
        <v>2016</v>
      </c>
    </row>
    <row r="3" spans="1:14" ht="21" customHeight="1" thickBot="1">
      <c r="A3" s="78"/>
      <c r="B3" s="79" t="s">
        <v>61</v>
      </c>
      <c r="C3" s="163" t="s">
        <v>123</v>
      </c>
      <c r="D3" s="163" t="s">
        <v>125</v>
      </c>
      <c r="E3" s="175" t="s">
        <v>127</v>
      </c>
      <c r="F3" s="163" t="s">
        <v>128</v>
      </c>
      <c r="G3" s="175" t="s">
        <v>214</v>
      </c>
      <c r="H3" s="163" t="s">
        <v>233</v>
      </c>
      <c r="I3" s="163" t="s">
        <v>275</v>
      </c>
      <c r="J3" s="175" t="s">
        <v>334</v>
      </c>
      <c r="K3" s="175" t="s">
        <v>256</v>
      </c>
      <c r="L3" s="161" t="s">
        <v>40</v>
      </c>
      <c r="M3" s="161" t="s">
        <v>57</v>
      </c>
      <c r="N3" s="12" t="s">
        <v>64</v>
      </c>
    </row>
    <row r="4" spans="1:13" ht="13.5" customHeight="1" thickTop="1">
      <c r="A4" s="80" t="s">
        <v>14</v>
      </c>
      <c r="B4" s="81"/>
      <c r="C4" s="82"/>
      <c r="D4" s="82"/>
      <c r="E4" s="93"/>
      <c r="F4" s="93"/>
      <c r="G4" s="93"/>
      <c r="H4" s="93"/>
      <c r="I4" s="93"/>
      <c r="J4" s="93"/>
      <c r="K4" s="93"/>
      <c r="L4" s="83"/>
      <c r="M4" s="83"/>
    </row>
    <row r="5" spans="1:15" ht="14.25" customHeight="1">
      <c r="A5" s="7" t="s">
        <v>15</v>
      </c>
      <c r="B5" s="141"/>
      <c r="C5" s="141"/>
      <c r="D5" s="141"/>
      <c r="E5" s="155"/>
      <c r="F5" s="156"/>
      <c r="G5" s="156">
        <v>20000</v>
      </c>
      <c r="H5" s="156"/>
      <c r="I5" s="156"/>
      <c r="J5" s="156">
        <v>20000</v>
      </c>
      <c r="K5" s="156"/>
      <c r="L5" s="84">
        <f aca="true" t="shared" si="0" ref="L5:L19">SUM(B5:K5)</f>
        <v>40000</v>
      </c>
      <c r="M5" s="84">
        <v>50000</v>
      </c>
      <c r="N5" s="40">
        <f aca="true" t="shared" si="1" ref="N5:N16">L5-M5</f>
        <v>-10000</v>
      </c>
      <c r="O5" s="170">
        <f aca="true" t="shared" si="2" ref="O5:O16">N5/M5</f>
        <v>-0.2</v>
      </c>
    </row>
    <row r="6" spans="1:15" ht="13.5" customHeight="1">
      <c r="A6" s="7" t="s">
        <v>16</v>
      </c>
      <c r="B6" s="141"/>
      <c r="C6" s="141">
        <v>12750</v>
      </c>
      <c r="D6" s="141">
        <f>150+6500+6400+300</f>
        <v>13350</v>
      </c>
      <c r="E6" s="142"/>
      <c r="F6" s="93">
        <f>150+9700+5250</f>
        <v>15100</v>
      </c>
      <c r="G6" s="93"/>
      <c r="H6" s="156">
        <f>750+2300+1380</f>
        <v>4430</v>
      </c>
      <c r="I6" s="93">
        <v>14200</v>
      </c>
      <c r="J6" s="93"/>
      <c r="K6" s="93">
        <f>150+3350+4000</f>
        <v>7500</v>
      </c>
      <c r="L6" s="84">
        <f t="shared" si="0"/>
        <v>67330</v>
      </c>
      <c r="M6" s="84">
        <v>63700</v>
      </c>
      <c r="N6" s="40">
        <f t="shared" si="1"/>
        <v>3630</v>
      </c>
      <c r="O6" s="170">
        <f t="shared" si="2"/>
        <v>0.05698587127158556</v>
      </c>
    </row>
    <row r="7" spans="1:15" ht="13.5" customHeight="1">
      <c r="A7" s="178" t="s">
        <v>41</v>
      </c>
      <c r="B7" s="179"/>
      <c r="C7" s="179">
        <v>2000</v>
      </c>
      <c r="D7" s="179">
        <v>1000</v>
      </c>
      <c r="E7" s="204">
        <v>15000</v>
      </c>
      <c r="F7" s="181">
        <v>4000</v>
      </c>
      <c r="G7" s="181"/>
      <c r="H7" s="181">
        <v>5000</v>
      </c>
      <c r="I7" s="181">
        <f>C60+D60+E60+F60</f>
        <v>22000</v>
      </c>
      <c r="J7" s="181"/>
      <c r="K7" s="182">
        <v>3000</v>
      </c>
      <c r="L7" s="183">
        <f t="shared" si="0"/>
        <v>52000</v>
      </c>
      <c r="M7" s="183">
        <v>28000</v>
      </c>
      <c r="N7" s="184">
        <f t="shared" si="1"/>
        <v>24000</v>
      </c>
      <c r="O7" s="185">
        <f t="shared" si="2"/>
        <v>0.8571428571428571</v>
      </c>
    </row>
    <row r="8" spans="1:15" ht="13.5" customHeight="1">
      <c r="A8" s="107" t="s">
        <v>74</v>
      </c>
      <c r="B8" s="141"/>
      <c r="C8" s="141"/>
      <c r="D8" s="141"/>
      <c r="E8" s="142"/>
      <c r="F8" s="93"/>
      <c r="G8" s="93"/>
      <c r="H8" s="93"/>
      <c r="I8" s="93"/>
      <c r="J8" s="93"/>
      <c r="K8" s="93"/>
      <c r="L8" s="84">
        <f t="shared" si="0"/>
        <v>0</v>
      </c>
      <c r="M8" s="84"/>
      <c r="N8" s="40"/>
      <c r="O8" s="170"/>
    </row>
    <row r="9" spans="1:15" ht="13.5" customHeight="1">
      <c r="A9" s="107" t="s">
        <v>54</v>
      </c>
      <c r="B9" s="141">
        <v>10360</v>
      </c>
      <c r="C9" s="141"/>
      <c r="D9" s="141"/>
      <c r="E9" s="142">
        <v>25000</v>
      </c>
      <c r="F9" s="93"/>
      <c r="G9" s="93"/>
      <c r="H9" s="93"/>
      <c r="I9" s="93"/>
      <c r="J9" s="93"/>
      <c r="K9" s="93"/>
      <c r="L9" s="84">
        <f t="shared" si="0"/>
        <v>35360</v>
      </c>
      <c r="M9" s="84">
        <v>7000</v>
      </c>
      <c r="N9" s="40">
        <f t="shared" si="1"/>
        <v>28360</v>
      </c>
      <c r="O9" s="170">
        <f t="shared" si="2"/>
        <v>4.051428571428572</v>
      </c>
    </row>
    <row r="10" spans="1:15" ht="13.5" customHeight="1">
      <c r="A10" s="186" t="s">
        <v>50</v>
      </c>
      <c r="B10" s="187">
        <f>702.09+950.75+982.05</f>
        <v>2634.8900000000003</v>
      </c>
      <c r="C10" s="179"/>
      <c r="D10" s="179"/>
      <c r="E10" s="180"/>
      <c r="F10" s="182"/>
      <c r="G10" s="182"/>
      <c r="H10" s="182"/>
      <c r="I10" s="182"/>
      <c r="J10" s="182"/>
      <c r="K10" s="182"/>
      <c r="L10" s="183">
        <f t="shared" si="0"/>
        <v>2634.8900000000003</v>
      </c>
      <c r="M10" s="183">
        <v>2400</v>
      </c>
      <c r="N10" s="184">
        <f t="shared" si="1"/>
        <v>234.89000000000033</v>
      </c>
      <c r="O10" s="185">
        <f t="shared" si="2"/>
        <v>0.09787083333333348</v>
      </c>
    </row>
    <row r="11" spans="1:15" ht="13.5" customHeight="1">
      <c r="A11" s="107" t="s">
        <v>51</v>
      </c>
      <c r="B11" s="141">
        <f>6032.6+6900</f>
        <v>12932.6</v>
      </c>
      <c r="C11" s="141"/>
      <c r="D11" s="141"/>
      <c r="E11" s="142"/>
      <c r="F11" s="93"/>
      <c r="G11" s="93"/>
      <c r="H11" s="93"/>
      <c r="I11" s="93"/>
      <c r="J11" s="93"/>
      <c r="K11" s="93"/>
      <c r="L11" s="84">
        <f t="shared" si="0"/>
        <v>12932.6</v>
      </c>
      <c r="M11" s="84">
        <v>14000</v>
      </c>
      <c r="N11" s="40">
        <f t="shared" si="1"/>
        <v>-1067.3999999999996</v>
      </c>
      <c r="O11" s="170">
        <f t="shared" si="2"/>
        <v>-0.07624285714285711</v>
      </c>
    </row>
    <row r="12" spans="1:15" ht="12" customHeight="1">
      <c r="A12" s="7" t="s">
        <v>17</v>
      </c>
      <c r="B12" s="143">
        <f>1000+1000+1000+1000+4000+500+1000+1000+2000+1000+1000+1000+1000+1000+1000+1000+1000+1000+1000+1000+1000+1000+1000+500</f>
        <v>27000</v>
      </c>
      <c r="C12" s="141"/>
      <c r="D12" s="141"/>
      <c r="E12" s="142"/>
      <c r="F12" s="93"/>
      <c r="G12" s="93"/>
      <c r="H12" s="93"/>
      <c r="I12" s="93"/>
      <c r="J12" s="93"/>
      <c r="K12" s="93"/>
      <c r="L12" s="84">
        <f t="shared" si="0"/>
        <v>27000</v>
      </c>
      <c r="M12" s="84">
        <v>30000</v>
      </c>
      <c r="N12" s="40">
        <f t="shared" si="1"/>
        <v>-3000</v>
      </c>
      <c r="O12" s="170">
        <f t="shared" si="2"/>
        <v>-0.1</v>
      </c>
    </row>
    <row r="13" spans="1:15" ht="12" customHeight="1">
      <c r="A13" s="186" t="s">
        <v>65</v>
      </c>
      <c r="B13" s="187">
        <v>100</v>
      </c>
      <c r="C13" s="179"/>
      <c r="D13" s="179"/>
      <c r="E13" s="180"/>
      <c r="F13" s="182"/>
      <c r="G13" s="182"/>
      <c r="H13" s="182"/>
      <c r="I13" s="182"/>
      <c r="J13" s="182"/>
      <c r="K13" s="182"/>
      <c r="L13" s="183">
        <f t="shared" si="0"/>
        <v>100</v>
      </c>
      <c r="M13" s="183"/>
      <c r="N13" s="184"/>
      <c r="O13" s="185"/>
    </row>
    <row r="14" spans="1:15" ht="12" customHeight="1">
      <c r="A14" s="107" t="s">
        <v>79</v>
      </c>
      <c r="B14" s="143"/>
      <c r="C14" s="141"/>
      <c r="D14" s="141"/>
      <c r="E14" s="142"/>
      <c r="F14" s="93"/>
      <c r="G14" s="93"/>
      <c r="H14" s="93"/>
      <c r="I14" s="156">
        <f>C61+D61+E61+F61</f>
        <v>6000</v>
      </c>
      <c r="J14" s="156"/>
      <c r="K14" s="93"/>
      <c r="L14" s="84">
        <f t="shared" si="0"/>
        <v>6000</v>
      </c>
      <c r="M14" s="84"/>
      <c r="N14" s="40"/>
      <c r="O14" s="170"/>
    </row>
    <row r="15" spans="1:15" ht="12" customHeight="1">
      <c r="A15" s="107" t="s">
        <v>213</v>
      </c>
      <c r="B15" s="143">
        <f>40000-7765-8699-12845</f>
        <v>10691</v>
      </c>
      <c r="C15" s="141"/>
      <c r="D15" s="141"/>
      <c r="E15" s="142"/>
      <c r="F15" s="93">
        <f>6970+750+45</f>
        <v>7765</v>
      </c>
      <c r="G15" s="93"/>
      <c r="H15" s="93">
        <f>10079-1380</f>
        <v>8699</v>
      </c>
      <c r="I15" s="93">
        <v>12845</v>
      </c>
      <c r="J15" s="93"/>
      <c r="K15" s="93"/>
      <c r="L15" s="84">
        <f t="shared" si="0"/>
        <v>40000</v>
      </c>
      <c r="M15" s="84"/>
      <c r="N15" s="40"/>
      <c r="O15" s="170"/>
    </row>
    <row r="16" spans="1:15" ht="12" customHeight="1">
      <c r="A16" s="107" t="s">
        <v>63</v>
      </c>
      <c r="B16" s="141">
        <v>10988</v>
      </c>
      <c r="C16" s="141"/>
      <c r="D16" s="141"/>
      <c r="E16" s="142"/>
      <c r="F16" s="93"/>
      <c r="G16" s="93"/>
      <c r="H16" s="93"/>
      <c r="I16" s="93"/>
      <c r="J16" s="93"/>
      <c r="K16" s="93"/>
      <c r="L16" s="84">
        <f t="shared" si="0"/>
        <v>10988</v>
      </c>
      <c r="M16" s="84">
        <v>14000</v>
      </c>
      <c r="N16" s="40">
        <f t="shared" si="1"/>
        <v>-3012</v>
      </c>
      <c r="O16" s="170">
        <f t="shared" si="2"/>
        <v>-0.21514285714285714</v>
      </c>
    </row>
    <row r="17" spans="1:15" ht="12" customHeight="1">
      <c r="A17" s="107" t="s">
        <v>268</v>
      </c>
      <c r="B17" s="141">
        <f>1490+30+850+70+1450</f>
        <v>3890</v>
      </c>
      <c r="C17" s="141"/>
      <c r="D17" s="141"/>
      <c r="E17" s="142"/>
      <c r="F17" s="93"/>
      <c r="G17" s="93"/>
      <c r="H17" s="93"/>
      <c r="I17" s="93"/>
      <c r="J17" s="93"/>
      <c r="K17" s="93"/>
      <c r="L17" s="84">
        <f t="shared" si="0"/>
        <v>3890</v>
      </c>
      <c r="M17" s="84"/>
      <c r="N17" s="40"/>
      <c r="O17" s="170"/>
    </row>
    <row r="18" spans="1:15" ht="12" customHeight="1">
      <c r="A18" s="107" t="s">
        <v>332</v>
      </c>
      <c r="B18" s="141">
        <v>10000</v>
      </c>
      <c r="C18" s="141"/>
      <c r="D18" s="141"/>
      <c r="E18" s="142"/>
      <c r="F18" s="93"/>
      <c r="G18" s="93"/>
      <c r="H18" s="93"/>
      <c r="I18" s="93"/>
      <c r="J18" s="93"/>
      <c r="K18" s="93"/>
      <c r="L18" s="84">
        <f t="shared" si="0"/>
        <v>10000</v>
      </c>
      <c r="M18" s="84"/>
      <c r="N18" s="40"/>
      <c r="O18" s="170"/>
    </row>
    <row r="19" spans="1:15" ht="12" customHeight="1">
      <c r="A19" s="7" t="s">
        <v>18</v>
      </c>
      <c r="B19" s="82">
        <f>61.17+6.68</f>
        <v>67.85</v>
      </c>
      <c r="C19" s="82"/>
      <c r="D19" s="82"/>
      <c r="E19" s="93"/>
      <c r="F19" s="93"/>
      <c r="G19" s="93"/>
      <c r="H19" s="93"/>
      <c r="I19" s="93"/>
      <c r="J19" s="93"/>
      <c r="K19" s="93"/>
      <c r="L19" s="84">
        <f t="shared" si="0"/>
        <v>67.85</v>
      </c>
      <c r="M19" s="84"/>
      <c r="N19" s="40"/>
      <c r="O19" s="170"/>
    </row>
    <row r="20" spans="1:16" ht="16.5" customHeight="1">
      <c r="A20" s="85" t="s">
        <v>19</v>
      </c>
      <c r="B20" s="86">
        <f aca="true" t="shared" si="3" ref="B20:M20">SUM(B4:B19)</f>
        <v>88664.34</v>
      </c>
      <c r="C20" s="86">
        <f t="shared" si="3"/>
        <v>14750</v>
      </c>
      <c r="D20" s="86">
        <f t="shared" si="3"/>
        <v>14350</v>
      </c>
      <c r="E20" s="86">
        <f t="shared" si="3"/>
        <v>40000</v>
      </c>
      <c r="F20" s="86">
        <f t="shared" si="3"/>
        <v>26865</v>
      </c>
      <c r="G20" s="86">
        <f t="shared" si="3"/>
        <v>20000</v>
      </c>
      <c r="H20" s="86">
        <f t="shared" si="3"/>
        <v>18129</v>
      </c>
      <c r="I20" s="86">
        <f>SUM(I4:I19)</f>
        <v>55045</v>
      </c>
      <c r="J20" s="86">
        <f>SUM(J4:J19)</f>
        <v>20000</v>
      </c>
      <c r="K20" s="87">
        <f t="shared" si="3"/>
        <v>10500</v>
      </c>
      <c r="L20" s="88">
        <f t="shared" si="3"/>
        <v>308303.33999999997</v>
      </c>
      <c r="M20" s="88">
        <f t="shared" si="3"/>
        <v>209100</v>
      </c>
      <c r="N20" s="40">
        <f>L20-M20</f>
        <v>99203.33999999997</v>
      </c>
      <c r="O20" s="170">
        <f>N20/M20</f>
        <v>0.4744301291248205</v>
      </c>
      <c r="P20" s="123"/>
    </row>
    <row r="21" spans="1:15" ht="16.5" customHeight="1">
      <c r="A21" s="89" t="s">
        <v>20</v>
      </c>
      <c r="B21" s="82"/>
      <c r="C21" s="82"/>
      <c r="D21" s="82"/>
      <c r="E21" s="93"/>
      <c r="F21" s="93"/>
      <c r="G21" s="93"/>
      <c r="H21" s="93"/>
      <c r="I21" s="93"/>
      <c r="J21" s="93"/>
      <c r="K21" s="93"/>
      <c r="L21" s="104"/>
      <c r="M21" s="84"/>
      <c r="O21" s="169"/>
    </row>
    <row r="22" spans="1:15" ht="16.5" customHeight="1">
      <c r="A22" s="107" t="s">
        <v>55</v>
      </c>
      <c r="B22" s="141">
        <f>6600+6600+8800+11000+8800+6600+9045+6390+6615+8820+2205</f>
        <v>81475</v>
      </c>
      <c r="C22" s="141"/>
      <c r="D22" s="141"/>
      <c r="E22" s="93"/>
      <c r="F22" s="93"/>
      <c r="G22" s="93"/>
      <c r="H22" s="93"/>
      <c r="I22" s="93">
        <v>2205</v>
      </c>
      <c r="J22" s="93"/>
      <c r="K22" s="93"/>
      <c r="L22" s="84">
        <f aca="true" t="shared" si="4" ref="L22:L28">SUM(B22:K22)</f>
        <v>83680</v>
      </c>
      <c r="M22" s="84">
        <v>87750</v>
      </c>
      <c r="N22" s="40">
        <f aca="true" t="shared" si="5" ref="N22:N34">L22-M22</f>
        <v>-4070</v>
      </c>
      <c r="O22" s="170">
        <f aca="true" t="shared" si="6" ref="O22:O34">N22/M22</f>
        <v>-0.04638176638176638</v>
      </c>
    </row>
    <row r="23" spans="1:15" ht="12.75" customHeight="1">
      <c r="A23" s="107" t="s">
        <v>45</v>
      </c>
      <c r="B23" s="141"/>
      <c r="C23" s="141"/>
      <c r="D23" s="141"/>
      <c r="E23" s="93"/>
      <c r="F23" s="93"/>
      <c r="G23" s="93"/>
      <c r="H23" s="93"/>
      <c r="I23" s="93">
        <v>2205</v>
      </c>
      <c r="J23" s="93"/>
      <c r="K23" s="93"/>
      <c r="L23" s="84">
        <f t="shared" si="4"/>
        <v>2205</v>
      </c>
      <c r="M23" s="84">
        <v>6550</v>
      </c>
      <c r="N23" s="40">
        <f t="shared" si="5"/>
        <v>-4345</v>
      </c>
      <c r="O23" s="170">
        <f t="shared" si="6"/>
        <v>-0.6633587786259542</v>
      </c>
    </row>
    <row r="24" spans="1:15" ht="12.75">
      <c r="A24" s="186" t="s">
        <v>43</v>
      </c>
      <c r="B24" s="179"/>
      <c r="C24" s="179">
        <v>4070</v>
      </c>
      <c r="D24" s="179">
        <v>4070</v>
      </c>
      <c r="E24" s="182">
        <v>9994</v>
      </c>
      <c r="F24" s="182">
        <v>4070</v>
      </c>
      <c r="G24" s="182"/>
      <c r="H24" s="182">
        <v>4210</v>
      </c>
      <c r="I24" s="182">
        <v>12630</v>
      </c>
      <c r="J24" s="182">
        <v>4210</v>
      </c>
      <c r="K24" s="181">
        <v>4210</v>
      </c>
      <c r="L24" s="183">
        <f t="shared" si="4"/>
        <v>47464</v>
      </c>
      <c r="M24" s="183">
        <v>36450</v>
      </c>
      <c r="N24" s="184">
        <f t="shared" si="5"/>
        <v>11014</v>
      </c>
      <c r="O24" s="185">
        <f t="shared" si="6"/>
        <v>0.3021673525377229</v>
      </c>
    </row>
    <row r="25" spans="1:15" ht="12.75">
      <c r="A25" s="7" t="s">
        <v>21</v>
      </c>
      <c r="B25" s="141"/>
      <c r="C25" s="141"/>
      <c r="D25" s="141"/>
      <c r="E25" s="93">
        <v>6000</v>
      </c>
      <c r="F25" s="93"/>
      <c r="G25" s="93"/>
      <c r="H25" s="93"/>
      <c r="I25" s="93"/>
      <c r="J25" s="93">
        <v>3000</v>
      </c>
      <c r="K25" s="156"/>
      <c r="L25" s="84">
        <f t="shared" si="4"/>
        <v>9000</v>
      </c>
      <c r="M25" s="84">
        <v>8000</v>
      </c>
      <c r="N25" s="40">
        <f t="shared" si="5"/>
        <v>1000</v>
      </c>
      <c r="O25" s="170">
        <f t="shared" si="6"/>
        <v>0.125</v>
      </c>
    </row>
    <row r="26" spans="1:15" ht="12.75">
      <c r="A26" s="107" t="s">
        <v>62</v>
      </c>
      <c r="B26" s="141">
        <f>1000+500+500+200+750+750+3000+2000+500</f>
        <v>9200</v>
      </c>
      <c r="C26" s="141">
        <v>4000</v>
      </c>
      <c r="D26" s="141">
        <f>6500-2000</f>
        <v>4500</v>
      </c>
      <c r="E26" s="93">
        <v>6000</v>
      </c>
      <c r="F26" s="93">
        <f>2000+5250</f>
        <v>7250</v>
      </c>
      <c r="G26" s="93">
        <v>5000</v>
      </c>
      <c r="H26" s="93">
        <v>6000</v>
      </c>
      <c r="I26" s="93">
        <v>6500</v>
      </c>
      <c r="J26" s="93">
        <f>2000+1500</f>
        <v>3500</v>
      </c>
      <c r="K26" s="156">
        <f>1500+2000+600</f>
        <v>4100</v>
      </c>
      <c r="L26" s="84">
        <f t="shared" si="4"/>
        <v>56050</v>
      </c>
      <c r="M26" s="84">
        <v>26000</v>
      </c>
      <c r="N26" s="40">
        <f t="shared" si="5"/>
        <v>30050</v>
      </c>
      <c r="O26" s="170">
        <f t="shared" si="6"/>
        <v>1.1557692307692307</v>
      </c>
    </row>
    <row r="27" spans="1:15" ht="12.75">
      <c r="A27" s="178" t="s">
        <v>22</v>
      </c>
      <c r="B27" s="179"/>
      <c r="C27" s="179"/>
      <c r="D27" s="179"/>
      <c r="E27" s="182"/>
      <c r="F27" s="181">
        <v>12545</v>
      </c>
      <c r="G27" s="182">
        <v>5000</v>
      </c>
      <c r="H27" s="182">
        <v>4000</v>
      </c>
      <c r="I27" s="182">
        <v>30000</v>
      </c>
      <c r="J27" s="182"/>
      <c r="K27" s="181"/>
      <c r="L27" s="183">
        <f t="shared" si="4"/>
        <v>51545</v>
      </c>
      <c r="M27" s="183">
        <v>24000</v>
      </c>
      <c r="N27" s="184">
        <f t="shared" si="5"/>
        <v>27545</v>
      </c>
      <c r="O27" s="185">
        <f t="shared" si="6"/>
        <v>1.1477083333333333</v>
      </c>
    </row>
    <row r="28" spans="1:15" ht="12.75">
      <c r="A28" s="107" t="s">
        <v>52</v>
      </c>
      <c r="B28" s="141"/>
      <c r="C28" s="141"/>
      <c r="D28" s="141"/>
      <c r="E28" s="93"/>
      <c r="F28" s="93"/>
      <c r="G28" s="93"/>
      <c r="H28" s="93">
        <v>3900</v>
      </c>
      <c r="I28" s="93">
        <v>6400</v>
      </c>
      <c r="J28" s="93"/>
      <c r="K28" s="93">
        <v>3000</v>
      </c>
      <c r="L28" s="84">
        <f t="shared" si="4"/>
        <v>13300</v>
      </c>
      <c r="M28" s="84"/>
      <c r="N28" s="40">
        <f t="shared" si="5"/>
        <v>13300</v>
      </c>
      <c r="O28" s="170" t="e">
        <f t="shared" si="6"/>
        <v>#DIV/0!</v>
      </c>
    </row>
    <row r="29" spans="1:15" ht="12.75">
      <c r="A29" s="7" t="s">
        <v>23</v>
      </c>
      <c r="B29" s="141"/>
      <c r="C29" s="141"/>
      <c r="D29" s="141"/>
      <c r="E29" s="93"/>
      <c r="F29" s="93"/>
      <c r="G29" s="93"/>
      <c r="H29" s="93"/>
      <c r="I29" s="93"/>
      <c r="J29" s="93"/>
      <c r="K29" s="93"/>
      <c r="L29" s="84">
        <f aca="true" t="shared" si="7" ref="L29:L34">SUM(B29:K29)</f>
        <v>0</v>
      </c>
      <c r="M29" s="84">
        <v>5000</v>
      </c>
      <c r="N29" s="40">
        <f t="shared" si="5"/>
        <v>-5000</v>
      </c>
      <c r="O29" s="170">
        <f t="shared" si="6"/>
        <v>-1</v>
      </c>
    </row>
    <row r="30" spans="1:15" ht="12.75">
      <c r="A30" s="186" t="s">
        <v>53</v>
      </c>
      <c r="B30" s="179"/>
      <c r="C30" s="179"/>
      <c r="D30" s="179"/>
      <c r="E30" s="182"/>
      <c r="F30" s="182"/>
      <c r="G30" s="182"/>
      <c r="H30" s="182"/>
      <c r="I30" s="182"/>
      <c r="J30" s="182"/>
      <c r="K30" s="182"/>
      <c r="L30" s="183">
        <f t="shared" si="7"/>
        <v>0</v>
      </c>
      <c r="M30" s="183"/>
      <c r="N30" s="184"/>
      <c r="O30" s="185"/>
    </row>
    <row r="31" spans="1:15" ht="12.75">
      <c r="A31" s="7" t="s">
        <v>24</v>
      </c>
      <c r="B31" s="141"/>
      <c r="C31" s="141"/>
      <c r="D31" s="141"/>
      <c r="E31" s="93">
        <v>1240</v>
      </c>
      <c r="F31" s="93"/>
      <c r="G31" s="93"/>
      <c r="H31" s="93"/>
      <c r="I31" s="93">
        <v>46</v>
      </c>
      <c r="J31" s="93"/>
      <c r="K31" s="93"/>
      <c r="L31" s="84">
        <f t="shared" si="7"/>
        <v>1286</v>
      </c>
      <c r="M31" s="84"/>
      <c r="N31" s="40"/>
      <c r="O31" s="170"/>
    </row>
    <row r="32" spans="1:15" ht="12.75">
      <c r="A32" s="107" t="s">
        <v>212</v>
      </c>
      <c r="B32" s="141"/>
      <c r="C32" s="141"/>
      <c r="D32" s="141"/>
      <c r="E32" s="93">
        <f>5271+1500+900-2519.5+504+4235+11146</f>
        <v>21036.5</v>
      </c>
      <c r="F32" s="93"/>
      <c r="G32" s="93"/>
      <c r="H32" s="93"/>
      <c r="I32" s="93"/>
      <c r="J32" s="93"/>
      <c r="K32" s="93"/>
      <c r="L32" s="183">
        <f t="shared" si="7"/>
        <v>21036.5</v>
      </c>
      <c r="M32" s="84"/>
      <c r="N32" s="40"/>
      <c r="O32" s="170"/>
    </row>
    <row r="33" spans="1:15" ht="12.75">
      <c r="A33" s="107" t="s">
        <v>268</v>
      </c>
      <c r="B33" s="141">
        <f>1010.5+180</f>
        <v>1190.5</v>
      </c>
      <c r="C33" s="141"/>
      <c r="D33" s="141"/>
      <c r="E33" s="93"/>
      <c r="F33" s="93"/>
      <c r="G33" s="93"/>
      <c r="H33" s="93"/>
      <c r="I33" s="93"/>
      <c r="J33" s="93"/>
      <c r="K33" s="93"/>
      <c r="L33" s="183">
        <f t="shared" si="7"/>
        <v>1190.5</v>
      </c>
      <c r="M33" s="84"/>
      <c r="N33" s="40"/>
      <c r="O33" s="170"/>
    </row>
    <row r="34" spans="1:15" ht="12.75" thickBot="1">
      <c r="A34" s="7" t="s">
        <v>25</v>
      </c>
      <c r="B34" s="82"/>
      <c r="C34" s="82"/>
      <c r="D34" s="82"/>
      <c r="E34" s="93"/>
      <c r="F34" s="93">
        <f>1500+750+750</f>
        <v>3000</v>
      </c>
      <c r="G34" s="93"/>
      <c r="H34" s="93"/>
      <c r="I34" s="93">
        <f>C71+D71+E71+F71</f>
        <v>18000</v>
      </c>
      <c r="J34" s="93"/>
      <c r="K34" s="93"/>
      <c r="L34" s="194">
        <f t="shared" si="7"/>
        <v>21000</v>
      </c>
      <c r="M34" s="84">
        <v>2000</v>
      </c>
      <c r="N34" s="40">
        <f t="shared" si="5"/>
        <v>19000</v>
      </c>
      <c r="O34" s="170">
        <f t="shared" si="6"/>
        <v>9.5</v>
      </c>
    </row>
    <row r="35" spans="1:15" ht="18.75" customHeight="1" thickTop="1">
      <c r="A35" s="90" t="s">
        <v>26</v>
      </c>
      <c r="B35" s="119">
        <f aca="true" t="shared" si="8" ref="B35:M35">SUM(B22:B34)</f>
        <v>91865.5</v>
      </c>
      <c r="C35" s="119">
        <f t="shared" si="8"/>
        <v>8070</v>
      </c>
      <c r="D35" s="119">
        <f t="shared" si="8"/>
        <v>8570</v>
      </c>
      <c r="E35" s="119">
        <f t="shared" si="8"/>
        <v>44270.5</v>
      </c>
      <c r="F35" s="119">
        <f t="shared" si="8"/>
        <v>26865</v>
      </c>
      <c r="G35" s="119">
        <f t="shared" si="8"/>
        <v>10000</v>
      </c>
      <c r="H35" s="119">
        <f t="shared" si="8"/>
        <v>18110</v>
      </c>
      <c r="I35" s="119">
        <f>SUM(I22:I34)</f>
        <v>77986</v>
      </c>
      <c r="J35" s="119">
        <f>SUM(J22:J34)</f>
        <v>10710</v>
      </c>
      <c r="K35" s="125">
        <f t="shared" si="8"/>
        <v>11310</v>
      </c>
      <c r="L35" s="193">
        <f t="shared" si="8"/>
        <v>307757</v>
      </c>
      <c r="M35" s="120">
        <f t="shared" si="8"/>
        <v>195750</v>
      </c>
      <c r="N35" s="40">
        <f>L35-M35</f>
        <v>112007</v>
      </c>
      <c r="O35" s="170">
        <f>N35/M35</f>
        <v>0.5721941251596424</v>
      </c>
    </row>
    <row r="36" spans="1:15" ht="12.75">
      <c r="A36" s="7" t="s">
        <v>27</v>
      </c>
      <c r="B36" s="141">
        <f>7000+4900</f>
        <v>11900</v>
      </c>
      <c r="C36" s="82"/>
      <c r="D36" s="82"/>
      <c r="E36" s="93"/>
      <c r="F36" s="93"/>
      <c r="G36" s="93"/>
      <c r="H36" s="93"/>
      <c r="I36" s="93"/>
      <c r="J36" s="93"/>
      <c r="K36" s="93"/>
      <c r="L36" s="84">
        <f aca="true" t="shared" si="9" ref="L36:L42">SUM(B36:K36)</f>
        <v>11900</v>
      </c>
      <c r="M36" s="84">
        <v>13400</v>
      </c>
      <c r="N36" s="40">
        <f aca="true" t="shared" si="10" ref="N36:N42">L36-M36</f>
        <v>-1500</v>
      </c>
      <c r="O36" s="170">
        <f aca="true" t="shared" si="11" ref="O36:O42">N36/M36</f>
        <v>-0.11194029850746269</v>
      </c>
    </row>
    <row r="37" spans="1:15" ht="12.75">
      <c r="A37" s="7" t="s">
        <v>28</v>
      </c>
      <c r="B37" s="141">
        <f>3936-1620</f>
        <v>2316</v>
      </c>
      <c r="C37" s="82"/>
      <c r="D37" s="82"/>
      <c r="E37" s="93"/>
      <c r="F37" s="93"/>
      <c r="G37" s="93"/>
      <c r="H37" s="93"/>
      <c r="I37" s="93"/>
      <c r="J37" s="93"/>
      <c r="K37" s="93"/>
      <c r="L37" s="84">
        <f t="shared" si="9"/>
        <v>2316</v>
      </c>
      <c r="M37" s="84">
        <v>2200</v>
      </c>
      <c r="N37" s="40">
        <f t="shared" si="10"/>
        <v>116</v>
      </c>
      <c r="O37" s="170">
        <f t="shared" si="11"/>
        <v>0.05272727272727273</v>
      </c>
    </row>
    <row r="38" spans="1:15" ht="12.75">
      <c r="A38" s="186" t="s">
        <v>49</v>
      </c>
      <c r="B38" s="179">
        <f>232.4+399.8+113.6+71.93+399.8+25+189.9</f>
        <v>1432.43</v>
      </c>
      <c r="C38" s="188"/>
      <c r="D38" s="188"/>
      <c r="E38" s="182"/>
      <c r="F38" s="182"/>
      <c r="G38" s="182"/>
      <c r="H38" s="182"/>
      <c r="I38" s="182"/>
      <c r="J38" s="182"/>
      <c r="K38" s="182"/>
      <c r="L38" s="183">
        <f t="shared" si="9"/>
        <v>1432.43</v>
      </c>
      <c r="M38" s="183">
        <v>2000</v>
      </c>
      <c r="N38" s="184">
        <f t="shared" si="10"/>
        <v>-567.5699999999999</v>
      </c>
      <c r="O38" s="185">
        <f t="shared" si="11"/>
        <v>-0.28378499999999995</v>
      </c>
    </row>
    <row r="39" spans="1:15" ht="12" customHeight="1">
      <c r="A39" s="7" t="s">
        <v>29</v>
      </c>
      <c r="B39" s="141"/>
      <c r="C39" s="82"/>
      <c r="D39" s="82"/>
      <c r="E39" s="93"/>
      <c r="F39" s="93"/>
      <c r="G39" s="93"/>
      <c r="H39" s="93"/>
      <c r="I39" s="93"/>
      <c r="J39" s="93"/>
      <c r="K39" s="93"/>
      <c r="L39" s="84">
        <f t="shared" si="9"/>
        <v>0</v>
      </c>
      <c r="M39" s="84">
        <v>5000</v>
      </c>
      <c r="N39" s="40">
        <f t="shared" si="10"/>
        <v>-5000</v>
      </c>
      <c r="O39" s="170">
        <f t="shared" si="11"/>
        <v>-1</v>
      </c>
    </row>
    <row r="40" spans="1:15" ht="12.75">
      <c r="A40" s="7" t="s">
        <v>30</v>
      </c>
      <c r="B40" s="141">
        <f>700+200</f>
        <v>900</v>
      </c>
      <c r="C40" s="82"/>
      <c r="D40" s="82"/>
      <c r="E40" s="93"/>
      <c r="F40" s="93"/>
      <c r="G40" s="93"/>
      <c r="H40" s="93"/>
      <c r="I40" s="93"/>
      <c r="J40" s="93"/>
      <c r="K40" s="93"/>
      <c r="L40" s="84">
        <f t="shared" si="9"/>
        <v>900</v>
      </c>
      <c r="M40" s="84">
        <v>1000</v>
      </c>
      <c r="N40" s="40">
        <f t="shared" si="10"/>
        <v>-100</v>
      </c>
      <c r="O40" s="170">
        <f t="shared" si="11"/>
        <v>-0.1</v>
      </c>
    </row>
    <row r="41" spans="1:15" ht="12.75">
      <c r="A41" s="107" t="s">
        <v>81</v>
      </c>
      <c r="B41" s="141">
        <v>2640</v>
      </c>
      <c r="C41" s="82"/>
      <c r="D41" s="82"/>
      <c r="E41" s="93"/>
      <c r="F41" s="93"/>
      <c r="G41" s="93"/>
      <c r="H41" s="93"/>
      <c r="I41" s="93"/>
      <c r="J41" s="93"/>
      <c r="K41" s="93"/>
      <c r="L41" s="84">
        <f t="shared" si="9"/>
        <v>2640</v>
      </c>
      <c r="M41" s="84">
        <v>3000</v>
      </c>
      <c r="N41" s="40">
        <f t="shared" si="10"/>
        <v>-360</v>
      </c>
      <c r="O41" s="170">
        <f t="shared" si="11"/>
        <v>-0.12</v>
      </c>
    </row>
    <row r="42" spans="1:15" ht="12.75">
      <c r="A42" s="7" t="s">
        <v>31</v>
      </c>
      <c r="B42" s="141">
        <f>257.7+350+1161</f>
        <v>1768.7</v>
      </c>
      <c r="C42" s="82"/>
      <c r="D42" s="82"/>
      <c r="E42" s="93"/>
      <c r="F42" s="93"/>
      <c r="G42" s="93"/>
      <c r="H42" s="93"/>
      <c r="I42" s="93"/>
      <c r="J42" s="93"/>
      <c r="K42" s="93"/>
      <c r="L42" s="84">
        <f t="shared" si="9"/>
        <v>1768.7</v>
      </c>
      <c r="M42" s="84">
        <v>2000</v>
      </c>
      <c r="N42" s="40">
        <f t="shared" si="10"/>
        <v>-231.29999999999995</v>
      </c>
      <c r="O42" s="170">
        <f t="shared" si="11"/>
        <v>-0.11564999999999998</v>
      </c>
    </row>
    <row r="43" spans="1:15" ht="12.75">
      <c r="A43" s="90" t="s">
        <v>32</v>
      </c>
      <c r="B43" s="144">
        <f aca="true" t="shared" si="12" ref="B43:M43">SUM(B36:B42)</f>
        <v>20957.13</v>
      </c>
      <c r="C43" s="119">
        <f t="shared" si="12"/>
        <v>0</v>
      </c>
      <c r="D43" s="119">
        <f t="shared" si="12"/>
        <v>0</v>
      </c>
      <c r="E43" s="119">
        <f t="shared" si="12"/>
        <v>0</v>
      </c>
      <c r="F43" s="119">
        <f t="shared" si="12"/>
        <v>0</v>
      </c>
      <c r="G43" s="119">
        <f t="shared" si="12"/>
        <v>0</v>
      </c>
      <c r="H43" s="119">
        <f>SUM(H36:H42)</f>
        <v>0</v>
      </c>
      <c r="I43" s="119">
        <f>SUM(I36:I42)</f>
        <v>0</v>
      </c>
      <c r="J43" s="119">
        <f>SUM(J36:J42)</f>
        <v>0</v>
      </c>
      <c r="K43" s="125">
        <f t="shared" si="12"/>
        <v>0</v>
      </c>
      <c r="L43" s="120">
        <f t="shared" si="12"/>
        <v>20957.13</v>
      </c>
      <c r="M43" s="120">
        <f t="shared" si="12"/>
        <v>28600</v>
      </c>
      <c r="N43" s="40">
        <f>L43-M43</f>
        <v>-7642.869999999999</v>
      </c>
      <c r="O43" s="170">
        <f>N43/M43</f>
        <v>-0.26723321678321676</v>
      </c>
    </row>
    <row r="44" spans="1:13" ht="12.75">
      <c r="A44" s="7" t="s">
        <v>33</v>
      </c>
      <c r="B44" s="141"/>
      <c r="C44" s="82"/>
      <c r="D44" s="82"/>
      <c r="E44" s="93"/>
      <c r="F44" s="93"/>
      <c r="G44" s="93"/>
      <c r="H44" s="93"/>
      <c r="I44" s="93"/>
      <c r="J44" s="93"/>
      <c r="K44" s="93"/>
      <c r="L44" s="84">
        <f>SUM(B44:K44)</f>
        <v>0</v>
      </c>
      <c r="M44" s="84"/>
    </row>
    <row r="45" spans="1:13" ht="12.75">
      <c r="A45" s="7" t="s">
        <v>34</v>
      </c>
      <c r="B45" s="141"/>
      <c r="C45" s="82"/>
      <c r="D45" s="82"/>
      <c r="E45" s="93"/>
      <c r="F45" s="93"/>
      <c r="G45" s="93"/>
      <c r="H45" s="93"/>
      <c r="I45" s="93"/>
      <c r="J45" s="93"/>
      <c r="K45" s="93"/>
      <c r="L45" s="84">
        <f>SUM(B45:K45)</f>
        <v>0</v>
      </c>
      <c r="M45" s="84"/>
    </row>
    <row r="46" spans="1:13" ht="12.75">
      <c r="A46" s="90" t="s">
        <v>35</v>
      </c>
      <c r="B46" s="145">
        <f aca="true" t="shared" si="13" ref="B46:M46">SUM(B44:B45)</f>
        <v>0</v>
      </c>
      <c r="C46" s="121">
        <f t="shared" si="13"/>
        <v>0</v>
      </c>
      <c r="D46" s="121">
        <f t="shared" si="13"/>
        <v>0</v>
      </c>
      <c r="E46" s="121">
        <f t="shared" si="13"/>
        <v>0</v>
      </c>
      <c r="F46" s="121">
        <f t="shared" si="13"/>
        <v>0</v>
      </c>
      <c r="G46" s="121">
        <f t="shared" si="13"/>
        <v>0</v>
      </c>
      <c r="H46" s="121">
        <f>SUM(H44:H45)</f>
        <v>0</v>
      </c>
      <c r="I46" s="121">
        <f>SUM(I44:I45)</f>
        <v>0</v>
      </c>
      <c r="J46" s="121">
        <f>SUM(J44:J45)</f>
        <v>0</v>
      </c>
      <c r="K46" s="126">
        <f t="shared" si="13"/>
        <v>0</v>
      </c>
      <c r="L46" s="122">
        <f t="shared" si="13"/>
        <v>0</v>
      </c>
      <c r="M46" s="122">
        <f t="shared" si="13"/>
        <v>0</v>
      </c>
    </row>
    <row r="47" spans="1:15" ht="12.75">
      <c r="A47" s="7" t="s">
        <v>36</v>
      </c>
      <c r="B47" s="141">
        <f>413.75+2.5+94.5+7.5+99+2.5+94.5+5+104.75-0.97+127.25+135+103.5+99-9.75+0.75+2.5+127.25+2.5+130.5+143.75+5.5</f>
        <v>1690.78</v>
      </c>
      <c r="C47" s="82"/>
      <c r="D47" s="82"/>
      <c r="E47" s="93"/>
      <c r="F47" s="93"/>
      <c r="G47" s="93"/>
      <c r="H47" s="93">
        <v>18.75</v>
      </c>
      <c r="I47" s="93">
        <f>35+25</f>
        <v>60</v>
      </c>
      <c r="J47" s="93"/>
      <c r="K47" s="93"/>
      <c r="L47" s="84">
        <f>SUM(B47:K47)</f>
        <v>1769.53</v>
      </c>
      <c r="M47" s="84">
        <v>1700</v>
      </c>
      <c r="O47" s="123"/>
    </row>
    <row r="48" spans="1:13" ht="12.75">
      <c r="A48" s="7" t="s">
        <v>18</v>
      </c>
      <c r="B48" s="124"/>
      <c r="C48" s="82"/>
      <c r="D48" s="82"/>
      <c r="E48" s="93"/>
      <c r="F48" s="93"/>
      <c r="G48" s="93"/>
      <c r="H48" s="93"/>
      <c r="I48" s="93"/>
      <c r="J48" s="93"/>
      <c r="K48" s="93"/>
      <c r="L48" s="84">
        <f>SUM(B48:K48)</f>
        <v>0</v>
      </c>
      <c r="M48" s="84"/>
    </row>
    <row r="49" spans="1:13" ht="12.75">
      <c r="A49" s="94" t="s">
        <v>37</v>
      </c>
      <c r="B49" s="91">
        <f aca="true" t="shared" si="14" ref="B49:M49">SUM(B47:B48)</f>
        <v>1690.78</v>
      </c>
      <c r="C49" s="91">
        <f t="shared" si="14"/>
        <v>0</v>
      </c>
      <c r="D49" s="91">
        <f t="shared" si="14"/>
        <v>0</v>
      </c>
      <c r="E49" s="91">
        <f t="shared" si="14"/>
        <v>0</v>
      </c>
      <c r="F49" s="91">
        <f>SUM(F47:F48)</f>
        <v>0</v>
      </c>
      <c r="G49" s="91">
        <f>SUM(G47:G48)</f>
        <v>0</v>
      </c>
      <c r="H49" s="91">
        <f>SUM(H47:H48)</f>
        <v>18.75</v>
      </c>
      <c r="I49" s="91">
        <f>SUM(I47:I48)</f>
        <v>60</v>
      </c>
      <c r="J49" s="91">
        <f>SUM(J47:J48)</f>
        <v>0</v>
      </c>
      <c r="K49" s="127">
        <f t="shared" si="14"/>
        <v>0</v>
      </c>
      <c r="L49" s="92">
        <f t="shared" si="14"/>
        <v>1769.53</v>
      </c>
      <c r="M49" s="92">
        <f t="shared" si="14"/>
        <v>1700</v>
      </c>
    </row>
    <row r="50" spans="1:15" ht="13.5" thickBot="1">
      <c r="A50" s="95" t="s">
        <v>38</v>
      </c>
      <c r="B50" s="96">
        <f aca="true" t="shared" si="15" ref="B50:M50">B35+B43+B46+B49</f>
        <v>114513.41</v>
      </c>
      <c r="C50" s="96">
        <f t="shared" si="15"/>
        <v>8070</v>
      </c>
      <c r="D50" s="96">
        <f t="shared" si="15"/>
        <v>8570</v>
      </c>
      <c r="E50" s="96">
        <f t="shared" si="15"/>
        <v>44270.5</v>
      </c>
      <c r="F50" s="96">
        <f t="shared" si="15"/>
        <v>26865</v>
      </c>
      <c r="G50" s="96">
        <f t="shared" si="15"/>
        <v>10000</v>
      </c>
      <c r="H50" s="96">
        <f>H35+H43+H46+H49</f>
        <v>18128.75</v>
      </c>
      <c r="I50" s="96">
        <f>I35+I43+I46+I49</f>
        <v>78046</v>
      </c>
      <c r="J50" s="96">
        <f>J35+J43+J46+J49</f>
        <v>10710</v>
      </c>
      <c r="K50" s="128">
        <f t="shared" si="15"/>
        <v>11310</v>
      </c>
      <c r="L50" s="97">
        <f t="shared" si="15"/>
        <v>330483.66000000003</v>
      </c>
      <c r="M50" s="97">
        <f t="shared" si="15"/>
        <v>226050</v>
      </c>
      <c r="N50" s="40">
        <f>L50-M50</f>
        <v>104433.66000000003</v>
      </c>
      <c r="O50" s="170">
        <f>N50/M50</f>
        <v>0.46199362972793645</v>
      </c>
    </row>
    <row r="51" spans="1:15" ht="12.75">
      <c r="A51" s="98" t="s">
        <v>39</v>
      </c>
      <c r="B51" s="131">
        <f aca="true" t="shared" si="16" ref="B51:M51">B20-B50</f>
        <v>-25849.070000000007</v>
      </c>
      <c r="C51" s="140">
        <f t="shared" si="16"/>
        <v>6680</v>
      </c>
      <c r="D51" s="140">
        <f t="shared" si="16"/>
        <v>5780</v>
      </c>
      <c r="E51" s="131">
        <f t="shared" si="16"/>
        <v>-4270.5</v>
      </c>
      <c r="F51" s="177">
        <f t="shared" si="16"/>
        <v>0</v>
      </c>
      <c r="G51" s="135">
        <f t="shared" si="16"/>
        <v>10000</v>
      </c>
      <c r="H51" s="135">
        <f>H20-H50</f>
        <v>0.25</v>
      </c>
      <c r="I51" s="131">
        <f>I20-I50</f>
        <v>-23001</v>
      </c>
      <c r="J51" s="135">
        <f>J20-J50</f>
        <v>9290</v>
      </c>
      <c r="K51" s="131">
        <f t="shared" si="16"/>
        <v>-810</v>
      </c>
      <c r="L51" s="138">
        <f t="shared" si="16"/>
        <v>-22180.320000000065</v>
      </c>
      <c r="M51" s="138">
        <f t="shared" si="16"/>
        <v>-16950</v>
      </c>
      <c r="N51" s="40"/>
      <c r="O51" s="170"/>
    </row>
    <row r="52" spans="1:13" ht="13.5" thickBot="1">
      <c r="A52" s="164"/>
      <c r="B52" s="164"/>
      <c r="C52" s="165"/>
      <c r="D52" s="165"/>
      <c r="E52" s="167"/>
      <c r="F52" s="165"/>
      <c r="G52" s="165"/>
      <c r="H52" s="167"/>
      <c r="I52" s="167"/>
      <c r="J52" s="167"/>
      <c r="K52" s="167"/>
      <c r="L52" s="137">
        <f>L51/L20</f>
        <v>-0.07194317129357103</v>
      </c>
      <c r="M52" s="137">
        <f>M51/M20</f>
        <v>-0.08106169296987087</v>
      </c>
    </row>
    <row r="53" spans="1:13" ht="13.5" thickTop="1">
      <c r="A53" s="205"/>
      <c r="B53" s="205"/>
      <c r="C53" s="167"/>
      <c r="D53" s="167"/>
      <c r="E53" s="167"/>
      <c r="F53" s="167"/>
      <c r="G53" s="167"/>
      <c r="H53" s="167"/>
      <c r="I53" s="167"/>
      <c r="J53" s="167"/>
      <c r="K53" s="167"/>
      <c r="L53" s="206"/>
      <c r="M53" s="206"/>
    </row>
    <row r="54" spans="7:12" ht="12.75">
      <c r="G54" s="12"/>
      <c r="H54" s="12"/>
      <c r="I54" s="12"/>
      <c r="J54" s="12"/>
      <c r="K54" s="173"/>
      <c r="L54" s="203"/>
    </row>
    <row r="55" spans="5:12" ht="13.5" thickBot="1">
      <c r="E55" s="40"/>
      <c r="F55" s="40"/>
      <c r="G55" s="203"/>
      <c r="H55" s="203"/>
      <c r="I55" s="203"/>
      <c r="J55" s="203"/>
      <c r="K55" s="173"/>
      <c r="L55" s="203"/>
    </row>
    <row r="56" spans="3:7" ht="24" customHeight="1">
      <c r="C56" s="211" t="s">
        <v>257</v>
      </c>
      <c r="D56" s="211" t="s">
        <v>251</v>
      </c>
      <c r="E56" s="214" t="s">
        <v>253</v>
      </c>
      <c r="F56" s="217" t="s">
        <v>250</v>
      </c>
      <c r="G56" s="217" t="s">
        <v>269</v>
      </c>
    </row>
    <row r="57" spans="1:7" ht="13.5" thickBot="1">
      <c r="A57" s="12"/>
      <c r="B57" s="210"/>
      <c r="C57" s="212" t="s">
        <v>258</v>
      </c>
      <c r="D57" s="212" t="s">
        <v>252</v>
      </c>
      <c r="E57" s="215" t="s">
        <v>254</v>
      </c>
      <c r="F57" s="215"/>
      <c r="G57" s="232"/>
    </row>
    <row r="58" spans="1:7" ht="18" customHeight="1" thickBot="1">
      <c r="A58" s="230" t="s">
        <v>249</v>
      </c>
      <c r="B58" s="231"/>
      <c r="C58" s="220"/>
      <c r="D58" s="213">
        <v>42658</v>
      </c>
      <c r="E58" s="216">
        <v>42664</v>
      </c>
      <c r="F58" s="216">
        <v>42665</v>
      </c>
      <c r="G58" s="233"/>
    </row>
    <row r="59" spans="1:12" ht="19.5" customHeight="1">
      <c r="A59" s="123" t="s">
        <v>259</v>
      </c>
      <c r="C59" s="222"/>
      <c r="D59" s="223"/>
      <c r="E59" s="223">
        <f>1400+5500</f>
        <v>6900</v>
      </c>
      <c r="F59" s="249">
        <f>1000+6300</f>
        <v>7300</v>
      </c>
      <c r="G59" s="223">
        <f aca="true" t="shared" si="17" ref="G59:G77">SUM(C59:F59)</f>
        <v>14200</v>
      </c>
      <c r="L59" s="40"/>
    </row>
    <row r="60" spans="1:7" ht="12.75">
      <c r="A60" s="123" t="s">
        <v>260</v>
      </c>
      <c r="C60" s="224">
        <v>12000</v>
      </c>
      <c r="D60" s="225">
        <v>3333</v>
      </c>
      <c r="E60" s="225">
        <v>3333</v>
      </c>
      <c r="F60" s="225">
        <v>3334</v>
      </c>
      <c r="G60" s="225">
        <f>SUM(C60:F60)</f>
        <v>22000</v>
      </c>
    </row>
    <row r="61" spans="1:7" ht="12.75">
      <c r="A61" s="123" t="s">
        <v>79</v>
      </c>
      <c r="C61" s="224">
        <v>6000</v>
      </c>
      <c r="D61" s="225">
        <v>0</v>
      </c>
      <c r="E61" s="225"/>
      <c r="F61" s="225"/>
      <c r="G61" s="225">
        <f t="shared" si="17"/>
        <v>6000</v>
      </c>
    </row>
    <row r="62" spans="1:12" ht="12.75">
      <c r="A62" s="2" t="s">
        <v>340</v>
      </c>
      <c r="B62" s="258"/>
      <c r="C62" s="224"/>
      <c r="D62" s="225">
        <f>SUM(C62)</f>
        <v>0</v>
      </c>
      <c r="E62" s="225"/>
      <c r="F62" s="225">
        <v>12845</v>
      </c>
      <c r="G62" s="225">
        <f t="shared" si="17"/>
        <v>12845</v>
      </c>
      <c r="L62" s="40">
        <f>SUM(L59:L61)</f>
        <v>0</v>
      </c>
    </row>
    <row r="63" spans="3:7" ht="12.75" thickBot="1">
      <c r="C63" s="226"/>
      <c r="D63" s="227">
        <f>SUM(C63)</f>
        <v>0</v>
      </c>
      <c r="E63" s="227"/>
      <c r="F63" s="227"/>
      <c r="G63" s="227">
        <f t="shared" si="17"/>
        <v>0</v>
      </c>
    </row>
    <row r="64" spans="1:12" ht="15.75" customHeight="1" thickBot="1">
      <c r="A64" s="218" t="s">
        <v>261</v>
      </c>
      <c r="B64" s="219"/>
      <c r="C64" s="228">
        <f>SUM(C60:C63)</f>
        <v>18000</v>
      </c>
      <c r="D64" s="229">
        <f>SUM(D59:D63)</f>
        <v>3333</v>
      </c>
      <c r="E64" s="229">
        <f>SUM(E59:E63)</f>
        <v>10233</v>
      </c>
      <c r="F64" s="229">
        <f>SUM(F59:F63)</f>
        <v>23479</v>
      </c>
      <c r="G64" s="234">
        <f t="shared" si="17"/>
        <v>55045</v>
      </c>
      <c r="K64" s="258"/>
      <c r="L64" s="40"/>
    </row>
    <row r="65" spans="3:12" ht="12.75">
      <c r="C65" s="222"/>
      <c r="D65" s="223"/>
      <c r="E65" s="223"/>
      <c r="F65" s="223"/>
      <c r="G65" s="223"/>
      <c r="K65" s="258"/>
      <c r="L65" s="40"/>
    </row>
    <row r="66" spans="1:12" ht="12.75">
      <c r="A66" s="123" t="s">
        <v>333</v>
      </c>
      <c r="C66" s="224">
        <v>4410</v>
      </c>
      <c r="D66" s="225"/>
      <c r="E66" s="225"/>
      <c r="F66" s="225"/>
      <c r="G66" s="225">
        <f t="shared" si="17"/>
        <v>4410</v>
      </c>
      <c r="L66" s="40"/>
    </row>
    <row r="67" spans="1:7" ht="12.75">
      <c r="A67" s="123" t="s">
        <v>262</v>
      </c>
      <c r="C67" s="224"/>
      <c r="D67" s="225">
        <v>4210</v>
      </c>
      <c r="E67" s="225">
        <v>4210</v>
      </c>
      <c r="F67" s="225">
        <v>4210</v>
      </c>
      <c r="G67" s="225">
        <f t="shared" si="17"/>
        <v>12630</v>
      </c>
    </row>
    <row r="68" spans="1:11" ht="12.75">
      <c r="A68" s="123" t="s">
        <v>263</v>
      </c>
      <c r="C68" s="224">
        <v>500</v>
      </c>
      <c r="D68" s="225">
        <v>2000</v>
      </c>
      <c r="E68" s="225">
        <v>2000</v>
      </c>
      <c r="F68" s="225">
        <v>2000</v>
      </c>
      <c r="G68" s="225">
        <f t="shared" si="17"/>
        <v>6500</v>
      </c>
      <c r="K68" s="258"/>
    </row>
    <row r="69" spans="1:7" ht="12.75">
      <c r="A69" s="123" t="s">
        <v>265</v>
      </c>
      <c r="C69" s="224"/>
      <c r="D69" s="225">
        <v>5000</v>
      </c>
      <c r="E69" s="225">
        <v>5000</v>
      </c>
      <c r="F69" s="225">
        <v>5000</v>
      </c>
      <c r="G69" s="225">
        <f t="shared" si="17"/>
        <v>15000</v>
      </c>
    </row>
    <row r="70" spans="1:7" ht="12.75">
      <c r="A70" s="123" t="s">
        <v>264</v>
      </c>
      <c r="C70" s="224"/>
      <c r="D70" s="225">
        <v>5000</v>
      </c>
      <c r="E70" s="225">
        <v>5000</v>
      </c>
      <c r="F70" s="225">
        <v>5000</v>
      </c>
      <c r="G70" s="225">
        <f t="shared" si="17"/>
        <v>15000</v>
      </c>
    </row>
    <row r="71" spans="1:7" ht="12.75">
      <c r="A71" s="123" t="s">
        <v>266</v>
      </c>
      <c r="C71" s="224">
        <v>18000</v>
      </c>
      <c r="D71" s="225"/>
      <c r="E71" s="225"/>
      <c r="F71" s="225"/>
      <c r="G71" s="225">
        <f t="shared" si="17"/>
        <v>18000</v>
      </c>
    </row>
    <row r="72" spans="1:7" ht="12.75">
      <c r="A72" s="123" t="s">
        <v>330</v>
      </c>
      <c r="C72" s="224"/>
      <c r="D72" s="225">
        <v>2500</v>
      </c>
      <c r="E72" s="225"/>
      <c r="F72" s="225">
        <v>3900</v>
      </c>
      <c r="G72" s="225">
        <f t="shared" si="17"/>
        <v>6400</v>
      </c>
    </row>
    <row r="73" spans="1:7" ht="12.75">
      <c r="A73" s="123" t="s">
        <v>331</v>
      </c>
      <c r="C73" s="224"/>
      <c r="D73" s="225"/>
      <c r="E73" s="225">
        <v>46</v>
      </c>
      <c r="F73" s="225"/>
      <c r="G73" s="225">
        <f t="shared" si="17"/>
        <v>46</v>
      </c>
    </row>
    <row r="74" spans="1:7" ht="12.75" thickBot="1">
      <c r="A74" s="123" t="s">
        <v>36</v>
      </c>
      <c r="C74" s="226"/>
      <c r="D74" s="227"/>
      <c r="E74" s="227">
        <v>25</v>
      </c>
      <c r="F74" s="227">
        <v>35</v>
      </c>
      <c r="G74" s="227">
        <f t="shared" si="17"/>
        <v>60</v>
      </c>
    </row>
    <row r="75" spans="1:7" ht="18.75" customHeight="1" thickBot="1">
      <c r="A75" s="218" t="s">
        <v>267</v>
      </c>
      <c r="B75" s="219"/>
      <c r="C75" s="228">
        <f>SUM(C66:C74)</f>
        <v>22910</v>
      </c>
      <c r="D75" s="228">
        <f>SUM(D66:D74)</f>
        <v>18710</v>
      </c>
      <c r="E75" s="236">
        <f>SUM(E66:E74)</f>
        <v>16281</v>
      </c>
      <c r="F75" s="235">
        <f>SUM(F66:F74)</f>
        <v>20145</v>
      </c>
      <c r="G75" s="234">
        <f t="shared" si="17"/>
        <v>78046</v>
      </c>
    </row>
    <row r="76" spans="3:7" ht="12.75" thickBot="1">
      <c r="C76" s="221"/>
      <c r="D76" s="40"/>
      <c r="E76" s="40"/>
      <c r="F76" s="40"/>
      <c r="G76" s="40"/>
    </row>
    <row r="77" spans="1:7" ht="20.25" customHeight="1" thickBot="1">
      <c r="A77" s="218" t="s">
        <v>40</v>
      </c>
      <c r="B77" s="219"/>
      <c r="C77" s="248">
        <f>C64-C75</f>
        <v>-4910</v>
      </c>
      <c r="D77" s="248">
        <f>D64-D75</f>
        <v>-15377</v>
      </c>
      <c r="E77" s="248">
        <f>E64-E75</f>
        <v>-6048</v>
      </c>
      <c r="F77" s="248">
        <f>F64-F75</f>
        <v>3334</v>
      </c>
      <c r="G77" s="234">
        <f t="shared" si="17"/>
        <v>-23001</v>
      </c>
    </row>
    <row r="78" spans="3:6" ht="12.75">
      <c r="C78" s="221"/>
      <c r="D78" s="40"/>
      <c r="E78" s="40"/>
      <c r="F78" s="40"/>
    </row>
    <row r="79" spans="3:6" ht="12.75">
      <c r="C79" s="221"/>
      <c r="D79" s="40"/>
      <c r="E79" s="40"/>
      <c r="F79" s="40"/>
    </row>
    <row r="80" spans="3:6" ht="12.75">
      <c r="C80" s="221"/>
      <c r="D80" s="40"/>
      <c r="E80" s="40"/>
      <c r="F80" s="40"/>
    </row>
    <row r="81" spans="3:6" ht="12.75">
      <c r="C81" s="221"/>
      <c r="D81" s="40"/>
      <c r="E81" s="40"/>
      <c r="F81" s="40"/>
    </row>
    <row r="82" spans="3:6" ht="12.75">
      <c r="C82" s="221"/>
      <c r="D82" s="40"/>
      <c r="E82" s="40"/>
      <c r="F82" s="40"/>
    </row>
    <row r="83" spans="3:6" ht="12.75">
      <c r="C83" s="221"/>
      <c r="D83" s="40"/>
      <c r="E83" s="40"/>
      <c r="F83" s="40"/>
    </row>
    <row r="84" spans="3:6" ht="12.75">
      <c r="C84" s="221"/>
      <c r="D84" s="40"/>
      <c r="E84" s="40"/>
      <c r="F84" s="40"/>
    </row>
    <row r="85" spans="3:6" ht="12.75">
      <c r="C85" s="221"/>
      <c r="D85" s="40"/>
      <c r="E85" s="40"/>
      <c r="F85" s="40"/>
    </row>
    <row r="86" spans="3:6" ht="12.75">
      <c r="C86" s="221"/>
      <c r="D86" s="40"/>
      <c r="E86" s="40"/>
      <c r="F86" s="40"/>
    </row>
    <row r="87" spans="3:6" ht="12.75">
      <c r="C87" s="221"/>
      <c r="D87" s="40"/>
      <c r="E87" s="40"/>
      <c r="F87" s="40"/>
    </row>
  </sheetData>
  <sheetProtection/>
  <printOptions/>
  <pageMargins left="1.141732283464567" right="0.1968503937007874" top="0.7874015748031497" bottom="0" header="0.5118110236220472" footer="0"/>
  <pageSetup fitToHeight="0" fitToWidth="1" orientation="portrait" paperSize="9" r:id="rId1"/>
  <headerFooter alignWithMargins="0"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">
      <selection activeCell="J15" sqref="J15"/>
    </sheetView>
  </sheetViews>
  <sheetFormatPr defaultColWidth="11.421875" defaultRowHeight="12.75"/>
  <cols>
    <col min="1" max="1" width="21.7109375" style="0" bestFit="1" customWidth="1"/>
    <col min="4" max="4" width="4.140625" style="0" customWidth="1"/>
    <col min="5" max="5" width="5.8515625" style="0" customWidth="1"/>
    <col min="7" max="7" width="1.28515625" style="0" customWidth="1"/>
  </cols>
  <sheetData>
    <row r="2" spans="1:7" ht="15">
      <c r="A2" s="26" t="s">
        <v>238</v>
      </c>
      <c r="B2" s="14"/>
      <c r="C2" s="14"/>
      <c r="D2" s="14"/>
      <c r="E2" s="238"/>
      <c r="F2" s="238"/>
      <c r="G2" s="238"/>
    </row>
    <row r="3" spans="1:7" ht="22.5" customHeight="1">
      <c r="A3" s="14" t="s">
        <v>239</v>
      </c>
      <c r="B3" s="14"/>
      <c r="C3" s="207">
        <v>2150</v>
      </c>
      <c r="E3" s="268" t="s">
        <v>240</v>
      </c>
      <c r="F3" s="238"/>
      <c r="G3" s="238"/>
    </row>
    <row r="4" spans="1:7" ht="15">
      <c r="A4" s="14" t="s">
        <v>271</v>
      </c>
      <c r="B4" s="14"/>
      <c r="C4" s="207">
        <v>900</v>
      </c>
      <c r="D4" s="207"/>
      <c r="E4" s="270" t="s">
        <v>270</v>
      </c>
      <c r="F4" s="238"/>
      <c r="G4" s="238"/>
    </row>
    <row r="5" spans="1:7" ht="15">
      <c r="A5" s="26" t="s">
        <v>273</v>
      </c>
      <c r="B5" s="14"/>
      <c r="C5" s="208">
        <f>SUM(C3:C4)</f>
        <v>3050</v>
      </c>
      <c r="D5" s="207"/>
      <c r="E5" s="47"/>
      <c r="F5" s="238"/>
      <c r="G5" s="238"/>
    </row>
    <row r="6" spans="1:7" ht="15">
      <c r="A6" s="14"/>
      <c r="B6" s="14"/>
      <c r="C6" s="207"/>
      <c r="D6" s="207"/>
      <c r="E6" s="238"/>
      <c r="F6" s="238"/>
      <c r="G6" s="238"/>
    </row>
    <row r="7" spans="1:7" ht="15">
      <c r="A7" s="14"/>
      <c r="B7" s="14"/>
      <c r="C7" s="207"/>
      <c r="D7" s="207"/>
      <c r="E7" s="238"/>
      <c r="F7" s="238"/>
      <c r="G7" s="238"/>
    </row>
    <row r="8" spans="1:7" ht="15">
      <c r="A8" s="14"/>
      <c r="B8" s="14"/>
      <c r="C8" s="207"/>
      <c r="D8" s="207"/>
      <c r="E8" s="238"/>
      <c r="F8" s="238"/>
      <c r="G8" s="238"/>
    </row>
    <row r="9" spans="1:7" ht="15">
      <c r="A9" s="26" t="s">
        <v>241</v>
      </c>
      <c r="B9" s="14"/>
      <c r="C9" s="207"/>
      <c r="D9" s="207"/>
      <c r="E9" s="238"/>
      <c r="F9" s="238"/>
      <c r="G9" s="238"/>
    </row>
    <row r="10" spans="1:10" ht="15">
      <c r="A10" s="14" t="s">
        <v>242</v>
      </c>
      <c r="B10" s="14"/>
      <c r="C10" s="207">
        <v>1865</v>
      </c>
      <c r="D10" s="207"/>
      <c r="E10" s="268">
        <v>1380</v>
      </c>
      <c r="F10" s="103" t="s">
        <v>243</v>
      </c>
      <c r="G10" s="269" t="s">
        <v>248</v>
      </c>
      <c r="H10" s="103" t="s">
        <v>406</v>
      </c>
      <c r="I10" s="47"/>
      <c r="J10" s="207"/>
    </row>
    <row r="11" spans="1:10" ht="15">
      <c r="A11" s="14"/>
      <c r="B11" s="14"/>
      <c r="C11" s="207"/>
      <c r="D11" s="207"/>
      <c r="E11" s="268">
        <v>485</v>
      </c>
      <c r="F11" s="103" t="s">
        <v>244</v>
      </c>
      <c r="G11" s="103"/>
      <c r="H11" s="103"/>
      <c r="I11" s="47"/>
      <c r="J11" s="207"/>
    </row>
    <row r="12" spans="1:10" ht="15">
      <c r="A12" s="14" t="s">
        <v>245</v>
      </c>
      <c r="B12" s="14"/>
      <c r="C12" s="207">
        <v>1490</v>
      </c>
      <c r="D12" s="207"/>
      <c r="G12" s="239"/>
      <c r="H12" s="237"/>
      <c r="J12" s="207"/>
    </row>
    <row r="13" spans="1:10" ht="15">
      <c r="A13" s="14" t="s">
        <v>246</v>
      </c>
      <c r="B13" s="14"/>
      <c r="C13" s="207">
        <v>-485</v>
      </c>
      <c r="D13" s="207"/>
      <c r="H13" s="237"/>
      <c r="J13" s="207"/>
    </row>
    <row r="14" spans="1:10" ht="21.75" customHeight="1">
      <c r="A14" s="26" t="s">
        <v>247</v>
      </c>
      <c r="B14" s="26"/>
      <c r="C14" s="208">
        <f>SUM(C10:C13)</f>
        <v>2870</v>
      </c>
      <c r="D14" s="207"/>
      <c r="E14" s="238"/>
      <c r="F14" s="238"/>
      <c r="G14" s="238"/>
      <c r="J14" s="267"/>
    </row>
    <row r="15" spans="1:10" ht="15">
      <c r="A15" s="14" t="s">
        <v>272</v>
      </c>
      <c r="B15" s="14"/>
      <c r="C15" s="207">
        <v>850</v>
      </c>
      <c r="D15" s="207"/>
      <c r="E15" s="47"/>
      <c r="F15" s="238"/>
      <c r="G15" s="238"/>
      <c r="J15" s="207"/>
    </row>
    <row r="16" spans="1:10" ht="21.75" customHeight="1">
      <c r="A16" s="26" t="s">
        <v>273</v>
      </c>
      <c r="B16" s="14"/>
      <c r="C16" s="208">
        <f>SUM(C14:C15)</f>
        <v>3720</v>
      </c>
      <c r="D16" s="207"/>
      <c r="E16" s="103" t="s">
        <v>274</v>
      </c>
      <c r="F16" s="238"/>
      <c r="G16" s="238"/>
      <c r="J16" s="267"/>
    </row>
    <row r="17" spans="1:7" ht="15">
      <c r="A17" s="14" t="s">
        <v>343</v>
      </c>
      <c r="B17" s="14"/>
      <c r="C17" s="207">
        <f>C18-C16</f>
        <v>1450</v>
      </c>
      <c r="D17" s="207"/>
      <c r="E17" s="47"/>
      <c r="F17" s="238"/>
      <c r="G17" s="238"/>
    </row>
    <row r="18" spans="1:7" ht="21" customHeight="1">
      <c r="A18" s="26" t="s">
        <v>344</v>
      </c>
      <c r="B18" s="26"/>
      <c r="C18" s="208">
        <v>5170</v>
      </c>
      <c r="D18" s="207"/>
      <c r="E18" s="103"/>
      <c r="F18" s="238"/>
      <c r="G18" s="238"/>
    </row>
    <row r="19" spans="1:7" ht="15">
      <c r="A19" s="14" t="s">
        <v>345</v>
      </c>
      <c r="B19" s="26"/>
      <c r="C19" s="207">
        <v>-3000</v>
      </c>
      <c r="D19" s="207"/>
      <c r="E19" s="47" t="s">
        <v>407</v>
      </c>
      <c r="F19" s="238"/>
      <c r="G19" s="238"/>
    </row>
    <row r="20" spans="1:7" ht="15">
      <c r="A20" s="26" t="s">
        <v>346</v>
      </c>
      <c r="B20" s="26"/>
      <c r="C20" s="208">
        <f>SUM(C18:C19)</f>
        <v>2170</v>
      </c>
      <c r="D20" s="207"/>
      <c r="E20" s="103" t="s">
        <v>348</v>
      </c>
      <c r="F20" s="238"/>
      <c r="G20" s="238"/>
    </row>
    <row r="21" spans="1:7" ht="15">
      <c r="A21" s="14"/>
      <c r="B21" s="14"/>
      <c r="C21" s="207"/>
      <c r="D21" s="207"/>
      <c r="E21" s="47"/>
      <c r="F21" s="238"/>
      <c r="G21" s="238"/>
    </row>
    <row r="22" spans="1:6" ht="15">
      <c r="A22" s="26" t="s">
        <v>336</v>
      </c>
      <c r="B22" s="26"/>
      <c r="C22" s="208">
        <f>C5+C20</f>
        <v>5220</v>
      </c>
      <c r="D22" s="207"/>
      <c r="E22" s="47"/>
      <c r="F22" s="14"/>
    </row>
    <row r="23" spans="1:6" ht="15">
      <c r="A23" s="14"/>
      <c r="B23" s="14"/>
      <c r="C23" s="207"/>
      <c r="D23" s="207"/>
      <c r="E23" s="14"/>
      <c r="F23" s="14"/>
    </row>
    <row r="24" spans="1:6" ht="15">
      <c r="A24" s="209" t="s">
        <v>347</v>
      </c>
      <c r="B24" s="14"/>
      <c r="C24" s="14"/>
      <c r="D24" s="14"/>
      <c r="E24" s="14"/>
      <c r="F24" s="14"/>
    </row>
    <row r="25" spans="1:6" ht="15">
      <c r="A25" s="14"/>
      <c r="B25" s="14"/>
      <c r="C25" s="14"/>
      <c r="D25" s="14"/>
      <c r="E25" s="14"/>
      <c r="F25" s="14"/>
    </row>
    <row r="26" spans="1:6" ht="15">
      <c r="A26" s="14"/>
      <c r="B26" s="14"/>
      <c r="C26" s="14"/>
      <c r="D26" s="14"/>
      <c r="E26" s="14"/>
      <c r="F26" s="14"/>
    </row>
    <row r="27" spans="1:6" ht="15">
      <c r="A27" s="14"/>
      <c r="B27" s="14"/>
      <c r="C27" s="14"/>
      <c r="D27" s="14"/>
      <c r="E27" s="14"/>
      <c r="F27" s="14"/>
    </row>
    <row r="28" spans="1:6" ht="15">
      <c r="A28" s="14"/>
      <c r="B28" s="14"/>
      <c r="C28" s="14"/>
      <c r="D28" s="14"/>
      <c r="E28" s="14"/>
      <c r="F28" s="14"/>
    </row>
    <row r="29" spans="1:6" ht="15">
      <c r="A29" s="14"/>
      <c r="B29" s="14"/>
      <c r="C29" s="14"/>
      <c r="D29" s="14"/>
      <c r="E29" s="14"/>
      <c r="F29" s="14"/>
    </row>
    <row r="30" spans="1:6" ht="15">
      <c r="A30" s="14"/>
      <c r="B30" s="14"/>
      <c r="C30" s="14"/>
      <c r="D30" s="14"/>
      <c r="E30" s="14"/>
      <c r="F30" s="14"/>
    </row>
    <row r="31" spans="1:6" ht="15">
      <c r="A31" s="14"/>
      <c r="B31" s="14"/>
      <c r="C31" s="14"/>
      <c r="D31" s="14"/>
      <c r="E31" s="14"/>
      <c r="F31" s="14"/>
    </row>
    <row r="32" spans="1:6" ht="15">
      <c r="A32" s="14"/>
      <c r="B32" s="14"/>
      <c r="C32" s="14"/>
      <c r="D32" s="14"/>
      <c r="E32" s="14"/>
      <c r="F32" s="14"/>
    </row>
  </sheetData>
  <sheetProtection/>
  <printOptions/>
  <pageMargins left="0.5118110236220472" right="0" top="0.7874015748031497" bottom="0.7874015748031497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 Servicesenter</dc:creator>
  <cp:keywords/>
  <dc:description/>
  <cp:lastModifiedBy>Pål Vinland</cp:lastModifiedBy>
  <cp:lastPrinted>2016-12-27T15:08:00Z</cp:lastPrinted>
  <dcterms:created xsi:type="dcterms:W3CDTF">1998-08-24T18:06:54Z</dcterms:created>
  <dcterms:modified xsi:type="dcterms:W3CDTF">2017-01-08T21:10:06Z</dcterms:modified>
  <cp:category/>
  <cp:version/>
  <cp:contentType/>
  <cp:contentStatus/>
</cp:coreProperties>
</file>